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tabRatio="751"/>
  </bookViews>
  <sheets>
    <sheet name="1.1. COLETA" sheetId="2" r:id="rId1"/>
    <sheet name="1.2. RESPONSABILIDADE TÉCNICA" sheetId="10" r:id="rId2"/>
    <sheet name="1.3. TRANSPORTE" sheetId="11" r:id="rId3"/>
    <sheet name="1.4. DESTINAÇÃO" sheetId="12" r:id="rId4"/>
    <sheet name="2.Encargos Sociais" sheetId="8" r:id="rId5"/>
    <sheet name="3.CAGED" sheetId="5" r:id="rId6"/>
    <sheet name="4.BDI" sheetId="4" r:id="rId7"/>
    <sheet name="5. Depreciação" sheetId="6" r:id="rId8"/>
    <sheet name="6.Remuneração de capital" sheetId="7" r:id="rId9"/>
    <sheet name="7. Dimensionamento" sheetId="9" r:id="rId10"/>
  </sheets>
  <definedNames>
    <definedName name="AbaDeprec">'5. Depreciação'!$A$1</definedName>
    <definedName name="AbaRemun">'6.Remuneração de capital'!$A$1</definedName>
    <definedName name="_xlnm.Print_Area" localSheetId="0">'1.1. COLETA'!$A$1:$F$250</definedName>
    <definedName name="_xlnm.Print_Area" localSheetId="1">'1.2. RESPONSABILIDADE TÉCNICA'!$A$1:$F$89</definedName>
    <definedName name="_xlnm.Print_Area" localSheetId="2">'1.3. TRANSPORTE'!$A$1:$F$191</definedName>
    <definedName name="_xlnm.Print_Area" localSheetId="3">'1.4. DESTINAÇÃO'!$A$1:$F$54</definedName>
    <definedName name="_xlnm.Print_Area" localSheetId="4">'2.Encargos Sociais'!$A$1:$C$39</definedName>
    <definedName name="_xlnm.Print_Titles" localSheetId="0">'1.1. COLETA'!$1:$8</definedName>
    <definedName name="_xlnm.Print_Titles" localSheetId="1">'1.2. RESPONSABILIDADE TÉCNICA'!$1:$8</definedName>
    <definedName name="_xlnm.Print_Titles" localSheetId="2">'1.3. TRANSPORTE'!$1:$8</definedName>
    <definedName name="_xlnm.Print_Titles" localSheetId="3">'1.4. DESTINAÇÃO'!$1:$8</definedName>
  </definedNames>
  <calcPr calcId="145621"/>
</workbook>
</file>

<file path=xl/calcChain.xml><?xml version="1.0" encoding="utf-8"?>
<calcChain xmlns="http://schemas.openxmlformats.org/spreadsheetml/2006/main">
  <c r="D196" i="2" l="1"/>
  <c r="E125" i="11"/>
  <c r="D124" i="11"/>
  <c r="E124" i="11"/>
  <c r="D127" i="11"/>
  <c r="E127" i="11" s="1"/>
  <c r="F128" i="11" s="1"/>
  <c r="E37" i="11" s="1"/>
  <c r="C109" i="2"/>
  <c r="E109" i="2" s="1"/>
  <c r="A41" i="11"/>
  <c r="C21" i="9"/>
  <c r="E52" i="11"/>
  <c r="E92" i="11"/>
  <c r="E129" i="2"/>
  <c r="E128" i="2"/>
  <c r="E127" i="2"/>
  <c r="E126" i="2"/>
  <c r="E125" i="2"/>
  <c r="E124" i="2"/>
  <c r="E123" i="2"/>
  <c r="E122" i="2"/>
  <c r="E121" i="2"/>
  <c r="E120" i="2"/>
  <c r="E119" i="2"/>
  <c r="D137" i="2"/>
  <c r="D139" i="2"/>
  <c r="D136" i="2"/>
  <c r="D138" i="2"/>
  <c r="D140" i="2"/>
  <c r="D141" i="2"/>
  <c r="E141" i="2" s="1"/>
  <c r="A31" i="12"/>
  <c r="A32" i="12"/>
  <c r="A30" i="12"/>
  <c r="C136" i="11"/>
  <c r="A40" i="11"/>
  <c r="A39" i="11"/>
  <c r="A38" i="11"/>
  <c r="A37" i="11"/>
  <c r="A36" i="11"/>
  <c r="A35" i="11"/>
  <c r="A34" i="11"/>
  <c r="A52" i="11"/>
  <c r="C105" i="11"/>
  <c r="C157" i="11"/>
  <c r="E157" i="11" s="1"/>
  <c r="E155" i="11"/>
  <c r="D158" i="11" s="1"/>
  <c r="E158" i="11" s="1"/>
  <c r="D159" i="11" s="1"/>
  <c r="D144" i="11"/>
  <c r="D142" i="11"/>
  <c r="D140" i="11"/>
  <c r="D138" i="11"/>
  <c r="D136" i="11"/>
  <c r="E136" i="11" s="1"/>
  <c r="C119" i="11"/>
  <c r="D113" i="11"/>
  <c r="E113" i="11" s="1"/>
  <c r="C106" i="11"/>
  <c r="E102" i="11"/>
  <c r="D105" i="11"/>
  <c r="E90" i="11"/>
  <c r="E48" i="11"/>
  <c r="E49" i="11" s="1"/>
  <c r="E171" i="11"/>
  <c r="E84" i="11"/>
  <c r="A31" i="11"/>
  <c r="E89" i="11"/>
  <c r="E88" i="11"/>
  <c r="E87" i="11"/>
  <c r="E86" i="11"/>
  <c r="E85" i="11"/>
  <c r="D91" i="11" s="1"/>
  <c r="E91" i="11" s="1"/>
  <c r="F92" i="11" s="1"/>
  <c r="F94" i="11" s="1"/>
  <c r="E33" i="11" s="1"/>
  <c r="E74" i="11"/>
  <c r="E61" i="11"/>
  <c r="D64" i="11"/>
  <c r="E64" i="11" s="1"/>
  <c r="E65" i="11" s="1"/>
  <c r="A48" i="11"/>
  <c r="A42" i="11"/>
  <c r="A33" i="11"/>
  <c r="A32" i="11"/>
  <c r="A30" i="11"/>
  <c r="E73" i="10"/>
  <c r="E72" i="10"/>
  <c r="E71" i="10"/>
  <c r="E64" i="10"/>
  <c r="D55" i="10"/>
  <c r="E55" i="10"/>
  <c r="D53" i="10"/>
  <c r="C53" i="10"/>
  <c r="E50" i="10"/>
  <c r="E40" i="10"/>
  <c r="E41" i="10" s="1"/>
  <c r="A40" i="10"/>
  <c r="A34" i="10"/>
  <c r="A33" i="10"/>
  <c r="A32" i="10"/>
  <c r="A31" i="10"/>
  <c r="A30" i="10"/>
  <c r="C97" i="2"/>
  <c r="C96" i="2"/>
  <c r="E69" i="11"/>
  <c r="E75" i="11"/>
  <c r="F75" i="11"/>
  <c r="E32" i="11" s="1"/>
  <c r="C115" i="11"/>
  <c r="E105" i="11"/>
  <c r="D106" i="11"/>
  <c r="E106" i="11" s="1"/>
  <c r="E107" i="11" s="1"/>
  <c r="D108" i="11" s="1"/>
  <c r="E108" i="11" s="1"/>
  <c r="F109" i="11" s="1"/>
  <c r="C159" i="11"/>
  <c r="C150" i="11"/>
  <c r="C142" i="11"/>
  <c r="E142" i="11"/>
  <c r="C140" i="11"/>
  <c r="E140" i="11" s="1"/>
  <c r="C144" i="11"/>
  <c r="E144" i="11" s="1"/>
  <c r="C138" i="11"/>
  <c r="E172" i="11"/>
  <c r="F175" i="11" s="1"/>
  <c r="C173" i="11"/>
  <c r="E173" i="11" s="1"/>
  <c r="E53" i="10"/>
  <c r="E56" i="10" s="1"/>
  <c r="E65" i="10"/>
  <c r="F65" i="10" s="1"/>
  <c r="C209" i="2"/>
  <c r="D142" i="2"/>
  <c r="C24" i="5"/>
  <c r="C25" i="5" s="1"/>
  <c r="C31" i="8" s="1"/>
  <c r="E174" i="11"/>
  <c r="C116" i="11"/>
  <c r="D117" i="11" s="1"/>
  <c r="E117" i="11" s="1"/>
  <c r="E118" i="11" s="1"/>
  <c r="D119" i="11" s="1"/>
  <c r="E119" i="11" s="1"/>
  <c r="F120" i="11" s="1"/>
  <c r="E36" i="11" s="1"/>
  <c r="E150" i="11"/>
  <c r="F151" i="11" s="1"/>
  <c r="E39" i="11" s="1"/>
  <c r="E142" i="2"/>
  <c r="A31" i="2"/>
  <c r="C177" i="2"/>
  <c r="C176" i="2"/>
  <c r="C178" i="2"/>
  <c r="A48" i="2"/>
  <c r="A47" i="2"/>
  <c r="A46" i="2"/>
  <c r="A38" i="2"/>
  <c r="A37" i="2"/>
  <c r="C14" i="9"/>
  <c r="C15" i="9" s="1"/>
  <c r="C38" i="12" s="1"/>
  <c r="E38" i="12" s="1"/>
  <c r="F39" i="12" s="1"/>
  <c r="C157" i="2"/>
  <c r="C167" i="2" s="1"/>
  <c r="E59" i="2"/>
  <c r="E56" i="2"/>
  <c r="C102" i="2"/>
  <c r="E102" i="2" s="1"/>
  <c r="C171" i="2"/>
  <c r="D194" i="2"/>
  <c r="D192" i="2"/>
  <c r="D190" i="2"/>
  <c r="E136" i="2"/>
  <c r="D70" i="2"/>
  <c r="E70" i="2" s="1"/>
  <c r="D69" i="2"/>
  <c r="E69" i="2" s="1"/>
  <c r="C211" i="2"/>
  <c r="A45" i="2"/>
  <c r="A44" i="2"/>
  <c r="A43" i="2"/>
  <c r="A42" i="2"/>
  <c r="A41" i="2"/>
  <c r="A40" i="2"/>
  <c r="A39" i="2"/>
  <c r="A36" i="2"/>
  <c r="A35" i="2"/>
  <c r="A34" i="2"/>
  <c r="A33" i="2"/>
  <c r="A32" i="2"/>
  <c r="C20" i="8"/>
  <c r="E144" i="2"/>
  <c r="E131" i="2"/>
  <c r="E110" i="2"/>
  <c r="E89" i="2"/>
  <c r="E77" i="2"/>
  <c r="D165" i="2"/>
  <c r="E165" i="2"/>
  <c r="C15" i="4"/>
  <c r="C20" i="4" s="1"/>
  <c r="C46" i="12" s="1"/>
  <c r="F13" i="4"/>
  <c r="E13" i="4"/>
  <c r="D13" i="4"/>
  <c r="C17" i="8"/>
  <c r="E81" i="2"/>
  <c r="D97" i="2" s="1"/>
  <c r="E209" i="2"/>
  <c r="C188" i="2"/>
  <c r="C190" i="2" s="1"/>
  <c r="E190" i="2" s="1"/>
  <c r="C194" i="2"/>
  <c r="E194" i="2" s="1"/>
  <c r="D188" i="2"/>
  <c r="E154" i="2"/>
  <c r="D176" i="2"/>
  <c r="E176" i="2"/>
  <c r="D179" i="2" s="1"/>
  <c r="E179" i="2" s="1"/>
  <c r="F180" i="2" s="1"/>
  <c r="E42" i="2" s="1"/>
  <c r="C158" i="2"/>
  <c r="C229" i="2"/>
  <c r="C231" i="2"/>
  <c r="E231" i="2" s="1"/>
  <c r="D232" i="2" s="1"/>
  <c r="E232" i="2" s="1"/>
  <c r="A54" i="2"/>
  <c r="A55" i="2"/>
  <c r="E68" i="2"/>
  <c r="D96" i="2" s="1"/>
  <c r="A102" i="2"/>
  <c r="A108" i="2" s="1"/>
  <c r="A103" i="2"/>
  <c r="A109" i="2"/>
  <c r="E137" i="2"/>
  <c r="E138" i="2"/>
  <c r="E139" i="2"/>
  <c r="E140" i="2"/>
  <c r="E207" i="2"/>
  <c r="E178" i="2"/>
  <c r="E177" i="2"/>
  <c r="E220" i="2"/>
  <c r="F222" i="2" s="1"/>
  <c r="F224" i="2" s="1"/>
  <c r="E46" i="2" s="1"/>
  <c r="E221" i="2"/>
  <c r="E84" i="2"/>
  <c r="C26" i="5"/>
  <c r="C32" i="5" s="1"/>
  <c r="C27" i="8" s="1"/>
  <c r="C27" i="5"/>
  <c r="C19" i="8" s="1"/>
  <c r="C25" i="8" s="1"/>
  <c r="C34" i="8" s="1"/>
  <c r="E108" i="2"/>
  <c r="C192" i="2"/>
  <c r="E229" i="2"/>
  <c r="D230" i="2" s="1"/>
  <c r="E230" i="2" s="1"/>
  <c r="E138" i="11"/>
  <c r="E192" i="2"/>
  <c r="C28" i="8"/>
  <c r="C202" i="2"/>
  <c r="E202" i="2" s="1"/>
  <c r="F203" i="2" s="1"/>
  <c r="E44" i="2" s="1"/>
  <c r="C103" i="2"/>
  <c r="E103" i="2" s="1"/>
  <c r="D157" i="2"/>
  <c r="D210" i="2"/>
  <c r="E210" i="2" s="1"/>
  <c r="D211" i="2" s="1"/>
  <c r="E96" i="2" l="1"/>
  <c r="E211" i="2"/>
  <c r="F212" i="2" s="1"/>
  <c r="E45" i="2" s="1"/>
  <c r="C196" i="2"/>
  <c r="E196" i="2" s="1"/>
  <c r="D143" i="2"/>
  <c r="E143" i="2" s="1"/>
  <c r="F144" i="2" s="1"/>
  <c r="D197" i="2"/>
  <c r="E97" i="2"/>
  <c r="D130" i="2"/>
  <c r="E130" i="2" s="1"/>
  <c r="F131" i="2" s="1"/>
  <c r="C35" i="8"/>
  <c r="C36" i="8" s="1"/>
  <c r="C29" i="8"/>
  <c r="C32" i="8" s="1"/>
  <c r="D57" i="10"/>
  <c r="E159" i="11"/>
  <c r="F160" i="11" s="1"/>
  <c r="E40" i="11" s="1"/>
  <c r="E41" i="11"/>
  <c r="F177" i="11"/>
  <c r="E32" i="10"/>
  <c r="D66" i="11"/>
  <c r="F146" i="11"/>
  <c r="E38" i="11" s="1"/>
  <c r="C30" i="8"/>
  <c r="E188" i="2"/>
  <c r="F198" i="2" s="1"/>
  <c r="E43" i="2" s="1"/>
  <c r="D145" i="11"/>
  <c r="E85" i="2"/>
  <c r="F110" i="2"/>
  <c r="E36" i="2" s="1"/>
  <c r="F104" i="2"/>
  <c r="E35" i="2" s="1"/>
  <c r="C243" i="2"/>
  <c r="C83" i="10"/>
  <c r="C184" i="11"/>
  <c r="F41" i="12"/>
  <c r="E30" i="12"/>
  <c r="E31" i="12"/>
  <c r="C17" i="9"/>
  <c r="C22" i="9" s="1"/>
  <c r="C24" i="9" s="1"/>
  <c r="E35" i="11"/>
  <c r="F163" i="11"/>
  <c r="E74" i="10"/>
  <c r="F75" i="10" s="1"/>
  <c r="E33" i="10" s="1"/>
  <c r="F233" i="2"/>
  <c r="F235" i="2" s="1"/>
  <c r="E47" i="2" s="1"/>
  <c r="E157" i="2"/>
  <c r="D158" i="2" s="1"/>
  <c r="E158" i="2" s="1"/>
  <c r="E159" i="2" s="1"/>
  <c r="D160" i="2" s="1"/>
  <c r="E160" i="2" s="1"/>
  <c r="F161" i="2" s="1"/>
  <c r="D71" i="2"/>
  <c r="E71" i="2" s="1"/>
  <c r="D72" i="2" s="1"/>
  <c r="E72" i="2" s="1"/>
  <c r="E73" i="2" s="1"/>
  <c r="F146" i="2" l="1"/>
  <c r="E37" i="2" s="1"/>
  <c r="F98" i="2"/>
  <c r="E34" i="2" s="1"/>
  <c r="C37" i="8"/>
  <c r="D86" i="2"/>
  <c r="D46" i="12"/>
  <c r="E46" i="12" s="1"/>
  <c r="F47" i="12" s="1"/>
  <c r="F49" i="12" s="1"/>
  <c r="E32" i="12" s="1"/>
  <c r="E33" i="12" s="1"/>
  <c r="E34" i="11"/>
  <c r="E40" i="2"/>
  <c r="C168" i="2"/>
  <c r="D169" i="2" s="1"/>
  <c r="E169" i="2" s="1"/>
  <c r="E170" i="2" s="1"/>
  <c r="D171" i="2" s="1"/>
  <c r="E171" i="2" s="1"/>
  <c r="F172" i="2" s="1"/>
  <c r="E41" i="2" s="1"/>
  <c r="C66" i="11" l="1"/>
  <c r="E66" i="11" s="1"/>
  <c r="E67" i="11" s="1"/>
  <c r="D68" i="11" s="1"/>
  <c r="E68" i="11" s="1"/>
  <c r="F69" i="11" s="1"/>
  <c r="C74" i="2"/>
  <c r="E74" i="2" s="1"/>
  <c r="E75" i="2" s="1"/>
  <c r="D76" i="2" s="1"/>
  <c r="E76" i="2" s="1"/>
  <c r="F77" i="2" s="1"/>
  <c r="E32" i="2" s="1"/>
  <c r="C86" i="2"/>
  <c r="E86" i="2" s="1"/>
  <c r="E87" i="2" s="1"/>
  <c r="D88" i="2" s="1"/>
  <c r="E88" i="2" s="1"/>
  <c r="F89" i="2" s="1"/>
  <c r="C57" i="10"/>
  <c r="E57" i="10" s="1"/>
  <c r="E58" i="10" s="1"/>
  <c r="D59" i="10" s="1"/>
  <c r="E59" i="10" s="1"/>
  <c r="F60" i="10" s="1"/>
  <c r="E21" i="12"/>
  <c r="E21" i="11"/>
  <c r="E22" i="2"/>
  <c r="E21" i="10"/>
  <c r="F31" i="12"/>
  <c r="F30" i="12"/>
  <c r="F52" i="12"/>
  <c r="F32" i="12"/>
  <c r="E39" i="2"/>
  <c r="F215" i="2"/>
  <c r="E38" i="2" s="1"/>
  <c r="E33" i="2" l="1"/>
  <c r="F112" i="2"/>
  <c r="F238" i="2" s="1"/>
  <c r="E31" i="11"/>
  <c r="F77" i="11"/>
  <c r="E31" i="10"/>
  <c r="F67" i="10"/>
  <c r="F33" i="12"/>
  <c r="E31" i="2" l="1"/>
  <c r="E30" i="11"/>
  <c r="F180" i="11"/>
  <c r="E30" i="10"/>
  <c r="F78" i="10"/>
  <c r="D243" i="2"/>
  <c r="E243" i="2" s="1"/>
  <c r="F244" i="2" s="1"/>
  <c r="F246" i="2" s="1"/>
  <c r="E48" i="2" s="1"/>
  <c r="E49" i="2" l="1"/>
  <c r="F36" i="2" s="1"/>
  <c r="D184" i="11"/>
  <c r="E184" i="11" s="1"/>
  <c r="F185" i="11" s="1"/>
  <c r="F187" i="11" s="1"/>
  <c r="E42" i="11" s="1"/>
  <c r="D83" i="10"/>
  <c r="E83" i="10" s="1"/>
  <c r="F84" i="10" s="1"/>
  <c r="F86" i="10" s="1"/>
  <c r="E34" i="10" s="1"/>
  <c r="F249" i="2"/>
  <c r="E18" i="10" s="1"/>
  <c r="F42" i="2"/>
  <c r="F48" i="2" l="1"/>
  <c r="F31" i="2"/>
  <c r="F39" i="2"/>
  <c r="F41" i="2"/>
  <c r="F35" i="2"/>
  <c r="F40" i="2"/>
  <c r="F32" i="2"/>
  <c r="F47" i="2"/>
  <c r="F44" i="2"/>
  <c r="F45" i="2"/>
  <c r="F37" i="2"/>
  <c r="F38" i="2"/>
  <c r="F34" i="2"/>
  <c r="F33" i="2"/>
  <c r="F43" i="2"/>
  <c r="F46" i="2"/>
  <c r="F89" i="10"/>
  <c r="E20" i="2" s="1"/>
  <c r="F190" i="11"/>
  <c r="E43" i="11"/>
  <c r="F42" i="11" s="1"/>
  <c r="E18" i="12"/>
  <c r="E35" i="10"/>
  <c r="F34" i="10" s="1"/>
  <c r="E18" i="11"/>
  <c r="E19" i="2"/>
  <c r="F49" i="2" l="1"/>
  <c r="E19" i="12"/>
  <c r="E19" i="10"/>
  <c r="E19" i="11"/>
  <c r="F32" i="10"/>
  <c r="F31" i="10"/>
  <c r="F33" i="10"/>
  <c r="F30" i="10"/>
  <c r="F34" i="11"/>
  <c r="F40" i="11"/>
  <c r="F39" i="11"/>
  <c r="F36" i="11"/>
  <c r="F33" i="11"/>
  <c r="F38" i="11"/>
  <c r="F37" i="11"/>
  <c r="F35" i="11"/>
  <c r="F32" i="11"/>
  <c r="F41" i="11"/>
  <c r="F31" i="11"/>
  <c r="F30" i="11"/>
  <c r="F43" i="11" s="1"/>
  <c r="E20" i="10"/>
  <c r="E22" i="10" s="1"/>
  <c r="F18" i="10" s="1"/>
  <c r="E21" i="2"/>
  <c r="E23" i="2" s="1"/>
  <c r="F19" i="2" s="1"/>
  <c r="E20" i="11"/>
  <c r="E20" i="12"/>
  <c r="E22" i="12" s="1"/>
  <c r="F18" i="12" s="1"/>
  <c r="F20" i="10" l="1"/>
  <c r="E22" i="11"/>
  <c r="F18" i="11" s="1"/>
  <c r="F22" i="10"/>
  <c r="F21" i="10"/>
  <c r="F35" i="10"/>
  <c r="F19" i="10"/>
  <c r="F19" i="12"/>
  <c r="F22" i="2"/>
  <c r="F21" i="2"/>
  <c r="F23" i="2"/>
  <c r="F22" i="12"/>
  <c r="F20" i="12"/>
  <c r="F20" i="2"/>
  <c r="F21" i="12"/>
  <c r="F20" i="11" l="1"/>
  <c r="F22" i="11"/>
  <c r="F21" i="11"/>
  <c r="F19" i="11"/>
</calcChain>
</file>

<file path=xl/comments1.xml><?xml version="1.0" encoding="utf-8"?>
<comments xmlns="http://schemas.openxmlformats.org/spreadsheetml/2006/main">
  <authors>
    <author>Clauber Bridi</author>
  </authors>
  <commentList>
    <comment ref="A17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7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4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4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95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96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97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03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08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09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1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9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3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4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55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56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57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66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7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78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184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8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91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9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93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95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95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02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07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07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08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09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10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20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20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21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21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31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4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54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57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9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6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6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64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66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0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0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2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13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3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3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3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3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3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3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4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4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4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4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15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15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15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15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A168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173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4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5.xml><?xml version="1.0" encoding="utf-8"?>
<comments xmlns="http://schemas.openxmlformats.org/spreadsheetml/2006/main">
  <authors>
    <author>Clauber Bridi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6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19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<sst xmlns="http://schemas.openxmlformats.org/spreadsheetml/2006/main" count="849" uniqueCount="338">
  <si>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</si>
  <si>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</si>
  <si>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</si>
  <si>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</si>
  <si>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</si>
  <si>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</si>
  <si>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</si>
  <si>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</si>
  <si>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</si>
  <si>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</si>
  <si>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</si>
  <si>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</si>
  <si>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</si>
  <si>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</si>
  <si>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</si>
  <si>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</si>
  <si>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</si>
  <si>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</si>
  <si>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</si>
  <si>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</si>
  <si>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</si>
  <si>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</si>
  <si>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kg/1.000 km</t>
  </si>
  <si>
    <t>Custo mensal com graxa</t>
  </si>
  <si>
    <t>km/jogo</t>
  </si>
  <si>
    <t>Calça</t>
  </si>
  <si>
    <t>Camiseta</t>
  </si>
  <si>
    <t>Boné</t>
  </si>
  <si>
    <t>Luva de proteção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</si>
  <si>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</si>
  <si>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</si>
  <si>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</si>
  <si>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</si>
  <si>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</si>
  <si>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</si>
  <si>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</si>
  <si>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</si>
  <si>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</si>
  <si>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</si>
  <si>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</si>
  <si>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</si>
  <si>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</si>
  <si>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</si>
  <si>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</si>
  <si>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</si>
  <si>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</si>
  <si>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</si>
  <si>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</si>
  <si>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</si>
  <si>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</si>
  <si>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</si>
  <si>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</si>
  <si>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</si>
  <si>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</si>
  <si>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</si>
  <si>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</si>
  <si>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</si>
  <si>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</si>
  <si>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</si>
  <si>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</si>
  <si>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</si>
  <si>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</si>
  <si>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</si>
  <si>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</si>
  <si>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</si>
  <si>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</si>
  <si>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</si>
  <si>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</si>
  <si>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</si>
  <si>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</si>
  <si>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</si>
  <si>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</si>
  <si>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</si>
  <si>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</si>
  <si>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</si>
  <si>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</si>
  <si>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</si>
  <si>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</si>
  <si>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</si>
  <si>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</si>
  <si>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</si>
  <si>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</si>
  <si>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</si>
  <si>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</si>
  <si>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</si>
  <si>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</si>
  <si>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</si>
  <si>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</si>
  <si>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</si>
  <si>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</si>
  <si>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</si>
  <si>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</si>
  <si>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1.1. Coletor Turno Dia</t>
  </si>
  <si>
    <t>hora contabilizada</t>
  </si>
  <si>
    <t>1.5. Vale Transporte</t>
  </si>
  <si>
    <t>anos</t>
  </si>
  <si>
    <t>Depreciação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</si>
  <si>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</si>
  <si>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</si>
  <si>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</si>
  <si>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</si>
  <si>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</si>
  <si>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</si>
  <si>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</si>
  <si>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</si>
  <si>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</si>
  <si>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</si>
  <si>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</si>
  <si>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</si>
  <si>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</si>
  <si>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</si>
  <si>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</si>
  <si>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</si>
  <si>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</si>
  <si>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</si>
  <si>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</si>
  <si>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</si>
  <si>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</si>
  <si>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</si>
  <si>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</si>
  <si>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</si>
  <si>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</si>
  <si>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</si>
  <si>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</si>
  <si>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</si>
  <si>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</si>
  <si>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</si>
  <si>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</si>
  <si>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</si>
  <si>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</si>
  <si>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</si>
  <si>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</si>
  <si>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</si>
  <si>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</si>
  <si>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</si>
  <si>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</si>
  <si>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</si>
  <si>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</si>
  <si>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</si>
  <si>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</si>
  <si>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</si>
  <si>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</si>
  <si>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</si>
  <si>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</si>
  <si>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</si>
  <si>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</si>
  <si>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</si>
  <si>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</si>
  <si>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</si>
  <si>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</si>
  <si>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</si>
  <si>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</si>
  <si>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</si>
  <si>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</si>
  <si>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</si>
  <si>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</si>
  <si>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</si>
  <si>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</si>
  <si>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</si>
  <si>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</si>
  <si>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</si>
  <si>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</si>
  <si>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</si>
  <si>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</si>
  <si>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</si>
  <si>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</si>
  <si>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</si>
  <si>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</si>
  <si>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</si>
  <si>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</si>
  <si>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</si>
  <si>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</si>
  <si>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</si>
  <si>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</si>
  <si>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</si>
  <si>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</si>
  <si>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</si>
  <si>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</si>
  <si>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</si>
  <si>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</si>
  <si>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</si>
  <si>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</si>
  <si>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</si>
  <si>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</si>
  <si>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</si>
  <si>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</si>
  <si>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</si>
  <si>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</si>
  <si>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</si>
  <si>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</si>
  <si>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</si>
  <si>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</si>
  <si>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</si>
  <si>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</si>
  <si>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</si>
  <si>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</si>
  <si>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</si>
  <si>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</si>
  <si>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</si>
  <si>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</si>
  <si>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</si>
  <si>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</si>
  <si>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</si>
  <si>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</si>
  <si>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</si>
  <si>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</si>
  <si>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</si>
  <si>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</si>
  <si>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</si>
  <si>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</si>
  <si>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</si>
  <si>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</si>
  <si>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</si>
  <si>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</si>
  <si>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</si>
  <si>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</si>
  <si>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</si>
  <si>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</si>
  <si>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</si>
  <si>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</si>
  <si>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</si>
  <si>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</si>
  <si>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</si>
  <si>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</si>
  <si>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</si>
  <si>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</si>
  <si>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</si>
  <si>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</si>
  <si>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</si>
  <si>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</si>
  <si>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</si>
  <si>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</si>
  <si>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</si>
  <si>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</si>
  <si>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</si>
  <si>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</si>
  <si>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</si>
  <si>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</si>
  <si>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</si>
  <si>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</si>
  <si>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</si>
  <si>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</si>
  <si>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</si>
  <si>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</si>
  <si>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</si>
  <si>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</si>
  <si>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</si>
  <si>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</si>
  <si>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</si>
  <si>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</si>
  <si>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</si>
  <si>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</si>
  <si>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</si>
  <si>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</si>
  <si>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</si>
  <si>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</si>
  <si>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</si>
  <si>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</si>
  <si>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</si>
  <si>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</si>
  <si>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</si>
  <si>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</si>
  <si>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</si>
  <si>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</si>
  <si>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</si>
  <si>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</si>
  <si>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</si>
  <si>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</si>
  <si>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</si>
  <si>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</si>
  <si>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Preencha as células em amarelo</t>
  </si>
  <si>
    <t>Tendo em vista que o CAGED foi descontinuado em janeiro de 2020, esta planilha foi atualizada até 31/12/2019.</t>
  </si>
  <si>
    <t>Ajustado, de acordo com a nova Lei Federal nº 13.932/2019</t>
  </si>
  <si>
    <t>Protetor solar FPS 60</t>
  </si>
  <si>
    <t>SELIC</t>
  </si>
  <si>
    <r>
      <t xml:space="preserve">Observações: </t>
    </r>
    <r>
      <rPr>
        <sz val="8"/>
        <rFont val="Arial"/>
        <family val="2"/>
      </rPr>
      <t>Esta panilha é somente um modelo-base.</t>
    </r>
  </si>
  <si>
    <t xml:space="preserve">Total </t>
  </si>
  <si>
    <t>Custo jg. compl. + 2 recap./ km rodado</t>
  </si>
  <si>
    <t>Higienização de uniformes e EPI's</t>
  </si>
  <si>
    <t>R$ mensal</t>
  </si>
  <si>
    <t>Custo de graxa(a base de sabão de lítio) /1.000 km rodados</t>
  </si>
  <si>
    <t>Custo do jogo de pneus  275/80 R22,5</t>
  </si>
  <si>
    <t>Fontes consultadas: 
Orientação técnica para os serviços de coleta de resíduos sólidos domiciliares (Projeto, Contratação e Fiscalização) 2ª Edição 2019 – Tribunal de Contas do Estado do Rio Grande do Sul – TCE; Planilha de Composição de Custos para serviços de coleta de resíduos sólidos domiciliares - Tribunal de Contas do Estado do Rio Grande do Sul – TCE; Planilha para dimensionamento de frota - FUNASA; Convenção Coletiva de Trabalho 2021/2021 – Sindicato das Empresas de Asseio e Conservação do Estado do Rio Grande do Sul e Sindicato dos Trabalhadores das Empresas de Asseio, Conservação, Zeladoria, Reciclagem de Lixo, Limpeza Urbana, Ambiental e de Áreas Verdes e empresas de Serviços Terceirizados; Plano Nacional de Resíduos Sólidos – Ministério do Meio Ambiente – Secretaria de Qualidade Ambiental-2020; Convenção Coletiva 2020-2021 - Passo Fundo/RS - Sindicato das Empresas de Transportes de Carga e Logística no Estado do Rio Grande do Sul - SETCERGS; Acordo Coletivo de Trabalho 2020-2021 – Processo n° 2020.000005969-4 Sindicatos do Engenheiros do Rio Grande do Sul – CREA/RS; IBGE; Banco Central do Brasil; CAGED; CEEE; Tabela FIPE; NR-6 Equipamentos de Proteção Individual; Google Mapas; Atas de Registros Municipais referentes ao ano de 2021; Pedidos municipais referentes ao ano de 2021; Relatórios de pesagens de resíduos destinados aos Aterros Sanitários referente ao período de 2020 e 2021; e Orçamentos em mercado local, sites e empresas especializadas nas diversas áreas que compõem os serviços a serem contratados.</t>
  </si>
  <si>
    <t>1. Coleta Domiciliar</t>
  </si>
  <si>
    <t>PREÇO TOTAL MENSAL (R$/mês)</t>
  </si>
  <si>
    <t>Planilha de Composição de Custos de COLETA</t>
  </si>
  <si>
    <t>Separador de Resíduos</t>
  </si>
  <si>
    <t>Engenheiro Responsável</t>
  </si>
  <si>
    <t>Licença Ambiental - Taxas</t>
  </si>
  <si>
    <t>Licença Ambiental - Projetos, Parecer, ART</t>
  </si>
  <si>
    <t>Responsabilidade Técnica</t>
  </si>
  <si>
    <t>R$/4 anos</t>
  </si>
  <si>
    <t>ano</t>
  </si>
  <si>
    <t>Custo Total Mensal com Licenciamentos</t>
  </si>
  <si>
    <t>Mês</t>
  </si>
  <si>
    <t>8. Benefícios e Despesas Indiretas - BDI</t>
  </si>
  <si>
    <t>PARTE 3. Coleta dos Resíduos Sólidos Domiciliares</t>
  </si>
  <si>
    <t>Planilha de Composição de Custos de TRANSPORTE FINAL</t>
  </si>
  <si>
    <t>PREÇO TOTAL MENSAL COM TRANSPORTE AO ATERRO</t>
  </si>
  <si>
    <t>2.1. Uniformes e EPIs para Motorista</t>
  </si>
  <si>
    <t>6. Benefícios e Despesas Indiretas - BDI</t>
  </si>
  <si>
    <t>PARTE 4. Coleta dos Resíduos Sólidos Domiciliares</t>
  </si>
  <si>
    <t>Planilha de Composição de Custos de DESTINAÇÃO</t>
  </si>
  <si>
    <t>1. Destinação do Resíduo</t>
  </si>
  <si>
    <t>Destinação final em aterro sanitário licenciado</t>
  </si>
  <si>
    <t>3.1. Veículo 6x2 Coletor Compactador 19 m³</t>
  </si>
  <si>
    <t>Colete reflexivo</t>
  </si>
  <si>
    <t>Protetor solar FPS 30</t>
  </si>
  <si>
    <t>Higienização de uniformes e EPIs</t>
  </si>
  <si>
    <t>Custo de aquisição do chassis + compactador</t>
  </si>
  <si>
    <t>Vida útil do chassis + compactador</t>
  </si>
  <si>
    <t>1.2. Motorista Turno do Dia</t>
  </si>
  <si>
    <t>1.3. Auxílio Alimentação (mensal)</t>
  </si>
  <si>
    <t>mês (20h)</t>
  </si>
  <si>
    <t>1.1. Engenheiro Responsável - 20 h/mês</t>
  </si>
  <si>
    <t>2. Licenciamentos</t>
  </si>
  <si>
    <t>1.2. Auxílio Alimentação (mensal)</t>
  </si>
  <si>
    <t>Planilha de Composição de Custos de RESPONSABILIDADE TÉCNICA</t>
  </si>
  <si>
    <t>PARTE 2. Coleta dos Resíduos Sólidos Domiciliares Orgânicos</t>
  </si>
  <si>
    <t>PARTE 1. Coleta dos Resíduos Sólidos Domiciliares Orgânicos</t>
  </si>
  <si>
    <t>2. Responsabilidade Técnica</t>
  </si>
  <si>
    <t>3. Transporte até Aterro Sanitário</t>
  </si>
  <si>
    <t>4. Destinação Final no Aterro Sanitário</t>
  </si>
  <si>
    <t>4. Monitoramento da Frota</t>
  </si>
  <si>
    <t>5. Benefícios e Despesas Indiretas - BDI</t>
  </si>
  <si>
    <t>Tonelada/mês</t>
  </si>
  <si>
    <t>Dados atualizados de acordo com novo CAGED 2.0, durante período de 01/2024 até 12/2024, para o estado do RS, CNAE 38114</t>
  </si>
  <si>
    <t>Dados disponíveis apenas no descontinuado CAGED 1.0, durante o ano de 2019, sendo estimado proporcionalmente para o novo CAGED 2.0, pelo período de 01/2024 até 12/2024, para o estado do RS, CNAE 38114</t>
  </si>
  <si>
    <t>Desta forma o veículo transporta na sua viagem semanal até o aterro sanitário, com base na estimativa de resíduos recolhidos, somente 5,96 toneladas enquanto que a capacidade máxima do veículo é de 9,5 toneladas, sendo suficiente para esta demanda (aproximadamente 63% da capacidade máxima).</t>
  </si>
  <si>
    <t>Serão realizadas 02 coletas na semana, contudo, é considerado apenas 01 pois o veículo será descarregado apenas 01 vez na semana.</t>
  </si>
  <si>
    <t>Investimento médio total do chassis + compactador</t>
  </si>
  <si>
    <t>Remuneração mensal veículos coletores</t>
  </si>
  <si>
    <t>Coleta dos Resíduos Sólidos Domiciliares Orgânicos (Zona Urbana e Rural), Responsabilidade Técnica, Transporte para Destinação e Disposição Final em Aterro Sanitário</t>
  </si>
  <si>
    <t>2.2. Uniformes e EPIs para Motorista</t>
  </si>
  <si>
    <t>3. Benefícios e Despesas Indiretas - BDI</t>
  </si>
  <si>
    <t>PREÇO TOTAL MENSAL COM A RESPONSABILDADE TÉCNICA</t>
  </si>
  <si>
    <t>1.1. Motorista Turno do Dia</t>
  </si>
  <si>
    <t>PREENCHER CÉLULAS NA COR AMARELA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</si>
</sst>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8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2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2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2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67" fontId="6" fillId="3" borderId="1" xfId="3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3" fontId="6" fillId="3" borderId="2" xfId="0" applyNumberFormat="1" applyFont="1" applyFill="1" applyBorder="1" applyAlignment="1">
      <alignment horizontal="center" vertical="center"/>
    </xf>
    <xf numFmtId="166" fontId="6" fillId="0" borderId="2" xfId="3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2" xfId="3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5" fontId="3" fillId="0" borderId="24" xfId="3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5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165" fontId="6" fillId="0" borderId="29" xfId="3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30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165" fontId="6" fillId="4" borderId="2" xfId="3" applyFont="1" applyFill="1" applyBorder="1" applyAlignment="1">
      <alignment horizontal="center" vertical="center"/>
    </xf>
    <xf numFmtId="9" fontId="3" fillId="0" borderId="15" xfId="2" applyFont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24" fillId="0" borderId="11" xfId="0" applyFont="1" applyBorder="1"/>
    <xf numFmtId="0" fontId="24" fillId="0" borderId="31" xfId="0" applyFont="1" applyBorder="1"/>
    <xf numFmtId="0" fontId="24" fillId="0" borderId="32" xfId="0" applyFont="1" applyBorder="1"/>
    <xf numFmtId="0" fontId="24" fillId="0" borderId="33" xfId="0" applyFont="1" applyBorder="1"/>
    <xf numFmtId="0" fontId="24" fillId="0" borderId="17" xfId="0" applyFont="1" applyBorder="1"/>
    <xf numFmtId="0" fontId="24" fillId="0" borderId="18" xfId="0" applyFont="1" applyBorder="1"/>
    <xf numFmtId="2" fontId="25" fillId="5" borderId="2" xfId="0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2" fontId="25" fillId="5" borderId="35" xfId="0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0" fontId="25" fillId="0" borderId="17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10" fontId="26" fillId="0" borderId="17" xfId="0" applyNumberFormat="1" applyFont="1" applyBorder="1" applyAlignment="1">
      <alignment horizontal="right" vertical="center"/>
    </xf>
    <xf numFmtId="0" fontId="25" fillId="6" borderId="32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10" fontId="26" fillId="6" borderId="17" xfId="0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9" fontId="25" fillId="0" borderId="0" xfId="2" applyFont="1" applyBorder="1" applyAlignment="1">
      <alignment horizontal="right" vertical="center"/>
    </xf>
    <xf numFmtId="10" fontId="6" fillId="0" borderId="0" xfId="0" applyNumberFormat="1" applyFont="1"/>
    <xf numFmtId="0" fontId="25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10" fontId="26" fillId="7" borderId="3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0" fontId="26" fillId="0" borderId="0" xfId="0" applyNumberFormat="1" applyFont="1" applyAlignment="1">
      <alignment horizontal="right" vertical="center"/>
    </xf>
    <xf numFmtId="10" fontId="25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30" fillId="0" borderId="0" xfId="0" applyFont="1"/>
    <xf numFmtId="0" fontId="25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2" xfId="0" applyFont="1" applyBorder="1"/>
    <xf numFmtId="0" fontId="5" fillId="0" borderId="32" xfId="0" applyFont="1" applyBorder="1"/>
    <xf numFmtId="0" fontId="5" fillId="3" borderId="17" xfId="0" applyFont="1" applyFill="1" applyBorder="1"/>
    <xf numFmtId="0" fontId="5" fillId="0" borderId="31" xfId="0" applyFont="1" applyBorder="1"/>
    <xf numFmtId="0" fontId="5" fillId="0" borderId="36" xfId="0" applyFont="1" applyBorder="1"/>
    <xf numFmtId="0" fontId="5" fillId="0" borderId="26" xfId="0" applyFont="1" applyBorder="1"/>
    <xf numFmtId="0" fontId="5" fillId="0" borderId="27" xfId="0" applyFont="1" applyBorder="1"/>
    <xf numFmtId="0" fontId="7" fillId="0" borderId="33" xfId="0" applyFont="1" applyBorder="1"/>
    <xf numFmtId="0" fontId="7" fillId="0" borderId="26" xfId="0" applyFont="1" applyBorder="1" applyAlignment="1">
      <alignment horizontal="left" vertical="center"/>
    </xf>
    <xf numFmtId="9" fontId="5" fillId="0" borderId="32" xfId="2" applyFont="1" applyBorder="1"/>
    <xf numFmtId="9" fontId="5" fillId="0" borderId="2" xfId="2" applyFont="1" applyBorder="1" applyAlignment="1">
      <alignment horizontal="center"/>
    </xf>
    <xf numFmtId="9" fontId="5" fillId="0" borderId="17" xfId="2" applyFont="1" applyBorder="1"/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3" borderId="2" xfId="2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17" xfId="0" applyFont="1" applyBorder="1"/>
    <xf numFmtId="0" fontId="5" fillId="0" borderId="34" xfId="0" applyFont="1" applyBorder="1" applyAlignment="1">
      <alignment horizontal="left" vertical="center"/>
    </xf>
    <xf numFmtId="10" fontId="5" fillId="3" borderId="3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10" fontId="5" fillId="0" borderId="41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2" xfId="2" applyNumberFormat="1" applyFont="1" applyBorder="1" applyAlignment="1">
      <alignment horizontal="right"/>
    </xf>
    <xf numFmtId="10" fontId="5" fillId="0" borderId="2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0" xfId="2" applyNumberFormat="1" applyFont="1" applyBorder="1" applyAlignment="1">
      <alignment horizontal="right"/>
    </xf>
    <xf numFmtId="0" fontId="6" fillId="0" borderId="43" xfId="0" applyFont="1" applyBorder="1"/>
    <xf numFmtId="0" fontId="31" fillId="0" borderId="43" xfId="0" applyFont="1" applyBorder="1" applyAlignment="1">
      <alignment horizontal="justify"/>
    </xf>
    <xf numFmtId="0" fontId="31" fillId="0" borderId="44" xfId="0" applyFont="1" applyBorder="1" applyAlignment="1">
      <alignment horizontal="justify"/>
    </xf>
    <xf numFmtId="0" fontId="17" fillId="8" borderId="45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168" fontId="3" fillId="0" borderId="2" xfId="0" applyNumberFormat="1" applyFon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2" xfId="3" applyNumberFormat="1" applyFont="1" applyBorder="1" applyAlignment="1">
      <alignment horizontal="center" vertical="center"/>
    </xf>
    <xf numFmtId="166" fontId="3" fillId="0" borderId="2" xfId="3" applyNumberFormat="1" applyFont="1" applyBorder="1" applyAlignment="1">
      <alignment horizontal="center" vertical="center"/>
    </xf>
    <xf numFmtId="167" fontId="3" fillId="0" borderId="2" xfId="3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165" fontId="3" fillId="0" borderId="46" xfId="3" applyFont="1" applyBorder="1" applyAlignment="1">
      <alignment horizontal="center" vertical="center"/>
    </xf>
    <xf numFmtId="165" fontId="3" fillId="0" borderId="46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32" xfId="0" applyFont="1" applyBorder="1"/>
    <xf numFmtId="0" fontId="7" fillId="0" borderId="2" xfId="0" applyFont="1" applyBorder="1"/>
    <xf numFmtId="0" fontId="7" fillId="0" borderId="17" xfId="0" applyFont="1" applyBorder="1"/>
    <xf numFmtId="0" fontId="5" fillId="0" borderId="2" xfId="0" applyFont="1" applyBorder="1"/>
    <xf numFmtId="170" fontId="27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4" xfId="0" applyFont="1" applyBorder="1"/>
    <xf numFmtId="0" fontId="5" fillId="0" borderId="35" xfId="0" applyFont="1" applyBorder="1"/>
    <xf numFmtId="171" fontId="5" fillId="3" borderId="17" xfId="0" applyNumberFormat="1" applyFont="1" applyFill="1" applyBorder="1"/>
    <xf numFmtId="171" fontId="5" fillId="0" borderId="30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2" xfId="0" applyFont="1" applyBorder="1" applyAlignment="1">
      <alignment horizontal="right"/>
    </xf>
    <xf numFmtId="4" fontId="32" fillId="0" borderId="0" xfId="0" applyNumberFormat="1" applyFont="1" applyAlignment="1">
      <alignment vertical="center"/>
    </xf>
    <xf numFmtId="0" fontId="33" fillId="0" borderId="0" xfId="0" applyFont="1"/>
    <xf numFmtId="0" fontId="1" fillId="0" borderId="1" xfId="0" applyFont="1" applyBorder="1" applyAlignment="1">
      <alignment vertical="center"/>
    </xf>
    <xf numFmtId="169" fontId="7" fillId="0" borderId="17" xfId="0" applyNumberFormat="1" applyFont="1" applyBorder="1"/>
    <xf numFmtId="9" fontId="24" fillId="0" borderId="17" xfId="2" applyFont="1" applyBorder="1"/>
    <xf numFmtId="10" fontId="24" fillId="0" borderId="17" xfId="2" applyNumberFormat="1" applyFont="1" applyBorder="1"/>
    <xf numFmtId="9" fontId="7" fillId="0" borderId="20" xfId="2" applyFont="1" applyBorder="1"/>
    <xf numFmtId="0" fontId="5" fillId="0" borderId="47" xfId="0" applyFont="1" applyBorder="1"/>
    <xf numFmtId="165" fontId="34" fillId="0" borderId="0" xfId="3" applyFont="1" applyAlignment="1">
      <alignment vertical="center"/>
    </xf>
    <xf numFmtId="0" fontId="1" fillId="0" borderId="2" xfId="0" applyFont="1" applyBorder="1" applyAlignment="1">
      <alignment vertical="center"/>
    </xf>
    <xf numFmtId="165" fontId="33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3" applyFont="1" applyAlignment="1">
      <alignment vertical="center"/>
    </xf>
    <xf numFmtId="165" fontId="1" fillId="0" borderId="16" xfId="3" applyFont="1" applyBorder="1" applyAlignment="1">
      <alignment vertical="center"/>
    </xf>
    <xf numFmtId="165" fontId="1" fillId="0" borderId="11" xfId="3" applyFont="1" applyBorder="1" applyAlignment="1">
      <alignment vertical="center"/>
    </xf>
    <xf numFmtId="166" fontId="1" fillId="0" borderId="2" xfId="3" applyNumberFormat="1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2" xfId="3" applyFont="1" applyBorder="1" applyAlignment="1">
      <alignment horizontal="center" vertical="center"/>
    </xf>
    <xf numFmtId="165" fontId="3" fillId="0" borderId="0" xfId="3" applyFont="1" applyFill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165" fontId="13" fillId="9" borderId="14" xfId="3" applyFont="1" applyFill="1" applyBorder="1" applyAlignment="1">
      <alignment horizontal="center" vertical="center"/>
    </xf>
    <xf numFmtId="165" fontId="13" fillId="9" borderId="15" xfId="3" applyFont="1" applyFill="1" applyBorder="1" applyAlignment="1">
      <alignment horizontal="center" vertical="center"/>
    </xf>
    <xf numFmtId="165" fontId="3" fillId="9" borderId="3" xfId="3" applyFont="1" applyFill="1" applyBorder="1" applyAlignment="1">
      <alignment horizontal="center" vertical="center"/>
    </xf>
    <xf numFmtId="13" fontId="6" fillId="3" borderId="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165" fontId="4" fillId="10" borderId="0" xfId="3" applyFont="1" applyFill="1" applyBorder="1" applyAlignment="1">
      <alignment vertical="center"/>
    </xf>
    <xf numFmtId="0" fontId="0" fillId="10" borderId="26" xfId="0" applyFill="1" applyBorder="1" applyAlignment="1">
      <alignment vertical="center"/>
    </xf>
    <xf numFmtId="4" fontId="0" fillId="10" borderId="0" xfId="0" applyNumberFormat="1" applyFill="1" applyAlignment="1">
      <alignment vertical="center"/>
    </xf>
    <xf numFmtId="165" fontId="23" fillId="10" borderId="0" xfId="3" applyFont="1" applyFill="1" applyBorder="1" applyAlignment="1">
      <alignment vertical="center"/>
    </xf>
    <xf numFmtId="165" fontId="23" fillId="10" borderId="27" xfId="3" applyFont="1" applyFill="1" applyBorder="1" applyAlignment="1">
      <alignment vertical="center"/>
    </xf>
    <xf numFmtId="43" fontId="3" fillId="0" borderId="0" xfId="0" applyNumberFormat="1" applyFont="1"/>
    <xf numFmtId="165" fontId="3" fillId="0" borderId="28" xfId="3" applyFont="1" applyBorder="1" applyAlignment="1">
      <alignment vertical="center"/>
    </xf>
    <xf numFmtId="1" fontId="3" fillId="0" borderId="30" xfId="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0" fontId="3" fillId="3" borderId="6" xfId="2" applyNumberFormat="1" applyFont="1" applyFill="1" applyBorder="1" applyAlignment="1">
      <alignment vertical="center"/>
    </xf>
    <xf numFmtId="13" fontId="1" fillId="3" borderId="2" xfId="0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5" fontId="1" fillId="0" borderId="1" xfId="3" applyFont="1" applyBorder="1" applyAlignment="1">
      <alignment horizontal="center" vertical="center"/>
    </xf>
    <xf numFmtId="13" fontId="1" fillId="3" borderId="2" xfId="0" applyNumberFormat="1" applyFont="1" applyFill="1" applyBorder="1"/>
    <xf numFmtId="13" fontId="1" fillId="3" borderId="2" xfId="0" applyNumberFormat="1" applyFont="1" applyFill="1" applyBorder="1" applyAlignment="1">
      <alignment vertical="center"/>
    </xf>
    <xf numFmtId="167" fontId="1" fillId="3" borderId="1" xfId="3" applyNumberFormat="1" applyFont="1" applyFill="1" applyBorder="1" applyAlignment="1">
      <alignment horizontal="center" vertical="center"/>
    </xf>
    <xf numFmtId="165" fontId="1" fillId="0" borderId="1" xfId="3" applyFont="1" applyFill="1" applyBorder="1" applyAlignment="1">
      <alignment horizontal="center" vertical="center"/>
    </xf>
    <xf numFmtId="167" fontId="1" fillId="3" borderId="2" xfId="3" applyNumberFormat="1" applyFont="1" applyFill="1" applyBorder="1" applyAlignment="1">
      <alignment horizontal="center" vertical="center"/>
    </xf>
    <xf numFmtId="165" fontId="1" fillId="0" borderId="2" xfId="3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vertical="center"/>
    </xf>
    <xf numFmtId="165" fontId="4" fillId="9" borderId="4" xfId="3" applyFont="1" applyFill="1" applyBorder="1" applyAlignment="1">
      <alignment horizontal="center" vertical="center"/>
    </xf>
    <xf numFmtId="165" fontId="4" fillId="9" borderId="5" xfId="3" applyFont="1" applyFill="1" applyBorder="1" applyAlignment="1">
      <alignment horizontal="center" vertical="center"/>
    </xf>
    <xf numFmtId="165" fontId="4" fillId="9" borderId="6" xfId="3" applyFont="1" applyFill="1" applyBorder="1" applyAlignment="1">
      <alignment horizontal="center" vertical="center"/>
    </xf>
    <xf numFmtId="0" fontId="24" fillId="11" borderId="17" xfId="0" applyFont="1" applyFill="1" applyBorder="1"/>
    <xf numFmtId="1" fontId="5" fillId="3" borderId="17" xfId="0" applyNumberFormat="1" applyFont="1" applyFill="1" applyBorder="1"/>
    <xf numFmtId="0" fontId="5" fillId="11" borderId="48" xfId="0" applyFont="1" applyFill="1" applyBorder="1"/>
    <xf numFmtId="0" fontId="5" fillId="11" borderId="17" xfId="0" applyFont="1" applyFill="1" applyBorder="1"/>
    <xf numFmtId="1" fontId="5" fillId="3" borderId="33" xfId="0" applyNumberFormat="1" applyFont="1" applyFill="1" applyBorder="1"/>
    <xf numFmtId="4" fontId="35" fillId="0" borderId="0" xfId="0" applyNumberFormat="1" applyFont="1" applyAlignmen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0" fontId="0" fillId="12" borderId="19" xfId="0" applyFill="1" applyBorder="1" applyAlignment="1"/>
    <xf numFmtId="0" fontId="0" fillId="12" borderId="26" xfId="0" applyFill="1" applyBorder="1" applyAlignment="1"/>
    <xf numFmtId="0" fontId="0" fillId="12" borderId="0" xfId="0" applyFill="1" applyBorder="1" applyAlignment="1"/>
    <xf numFmtId="0" fontId="0" fillId="12" borderId="27" xfId="0" applyFill="1" applyBorder="1" applyAlignment="1"/>
    <xf numFmtId="0" fontId="0" fillId="12" borderId="18" xfId="0" applyFill="1" applyBorder="1" applyAlignment="1"/>
    <xf numFmtId="0" fontId="0" fillId="12" borderId="42" xfId="0" applyFill="1" applyBorder="1" applyAlignment="1"/>
    <xf numFmtId="4" fontId="22" fillId="3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2" fillId="0" borderId="19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7" fillId="9" borderId="50" xfId="0" applyFont="1" applyFill="1" applyBorder="1" applyAlignment="1">
      <alignment horizontal="center" vertical="center"/>
    </xf>
    <xf numFmtId="0" fontId="7" fillId="9" borderId="51" xfId="0" applyFont="1" applyFill="1" applyBorder="1" applyAlignment="1">
      <alignment horizontal="center" vertical="center"/>
    </xf>
    <xf numFmtId="0" fontId="7" fillId="9" borderId="52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3" xfId="3" applyFont="1" applyBorder="1" applyAlignment="1">
      <alignment horizontal="center" vertical="center"/>
    </xf>
    <xf numFmtId="165" fontId="4" fillId="9" borderId="4" xfId="3" applyFont="1" applyFill="1" applyBorder="1" applyAlignment="1">
      <alignment horizontal="center" vertical="center"/>
    </xf>
    <xf numFmtId="165" fontId="4" fillId="9" borderId="5" xfId="3" applyFont="1" applyFill="1" applyBorder="1" applyAlignment="1">
      <alignment horizontal="center" vertical="center"/>
    </xf>
    <xf numFmtId="165" fontId="4" fillId="9" borderId="6" xfId="3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17" fillId="9" borderId="40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7" fillId="9" borderId="37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/>
    </xf>
    <xf numFmtId="0" fontId="17" fillId="8" borderId="54" xfId="0" applyFont="1" applyFill="1" applyBorder="1" applyAlignment="1">
      <alignment horizontal="center"/>
    </xf>
    <xf numFmtId="0" fontId="24" fillId="11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0" borderId="37" xfId="2" applyFont="1" applyBorder="1" applyAlignment="1">
      <alignment horizontal="center"/>
    </xf>
    <xf numFmtId="9" fontId="7" fillId="0" borderId="38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8" borderId="3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7" fillId="8" borderId="37" xfId="0" applyFont="1" applyFill="1" applyBorder="1" applyAlignment="1">
      <alignment horizontal="center"/>
    </xf>
    <xf numFmtId="0" fontId="17" fillId="8" borderId="38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184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184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9"/>
  <sheetViews>
    <sheetView tabSelected="1" view="pageBreakPreview" topLeftCell="A30" zoomScaleNormal="100" zoomScaleSheetLayoutView="100" workbookViewId="0">
      <selection activeCell="E55" sqref="E55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3" t="s">
        <v>282</v>
      </c>
      <c r="B2" s="324"/>
      <c r="C2" s="324"/>
      <c r="D2" s="324"/>
      <c r="E2" s="324"/>
      <c r="F2" s="324"/>
    </row>
    <row r="3" spans="1:7" hidden="1" x14ac:dyDescent="0.2">
      <c r="A3" s="324"/>
      <c r="B3" s="324"/>
      <c r="C3" s="324"/>
      <c r="D3" s="324"/>
      <c r="E3" s="324"/>
      <c r="F3" s="324"/>
    </row>
    <row r="4" spans="1:7" hidden="1" x14ac:dyDescent="0.2">
      <c r="A4" s="324"/>
      <c r="B4" s="324"/>
      <c r="C4" s="324"/>
      <c r="D4" s="324"/>
      <c r="E4" s="324"/>
      <c r="F4" s="324"/>
    </row>
    <row r="5" spans="1:7" s="2" customFormat="1" ht="15.6" hidden="1" customHeight="1" x14ac:dyDescent="0.2">
      <c r="A5" s="324"/>
      <c r="B5" s="324"/>
      <c r="C5" s="324"/>
      <c r="D5" s="324"/>
      <c r="E5" s="324"/>
      <c r="F5" s="324"/>
      <c r="G5" s="4"/>
    </row>
    <row r="6" spans="1:7" s="2" customFormat="1" ht="15.6" hidden="1" customHeight="1" x14ac:dyDescent="0.2">
      <c r="A6" s="324"/>
      <c r="B6" s="324"/>
      <c r="C6" s="324"/>
      <c r="D6" s="324"/>
      <c r="E6" s="324"/>
      <c r="F6" s="324"/>
      <c r="G6" s="4"/>
    </row>
    <row r="7" spans="1:7" s="2" customFormat="1" ht="15.6" hidden="1" customHeight="1" x14ac:dyDescent="0.2">
      <c r="A7" s="324"/>
      <c r="B7" s="324"/>
      <c r="C7" s="324"/>
      <c r="D7" s="324"/>
      <c r="E7" s="324"/>
      <c r="F7" s="324"/>
      <c r="G7" s="4"/>
    </row>
    <row r="8" spans="1:7" s="2" customFormat="1" ht="15.6" hidden="1" customHeight="1" x14ac:dyDescent="0.2">
      <c r="A8" s="324"/>
      <c r="B8" s="324"/>
      <c r="C8" s="324"/>
      <c r="D8" s="324"/>
      <c r="E8" s="324"/>
      <c r="F8" s="324"/>
      <c r="G8" s="4"/>
    </row>
    <row r="9" spans="1:7" s="2" customFormat="1" ht="15.6" hidden="1" customHeight="1" x14ac:dyDescent="0.2">
      <c r="A9" s="324"/>
      <c r="B9" s="324"/>
      <c r="C9" s="324"/>
      <c r="D9" s="324"/>
      <c r="E9" s="324"/>
      <c r="F9" s="324"/>
      <c r="G9" s="4"/>
    </row>
    <row r="10" spans="1:7" s="2" customFormat="1" ht="15.6" hidden="1" customHeight="1" x14ac:dyDescent="0.2">
      <c r="A10" s="324"/>
      <c r="B10" s="324"/>
      <c r="C10" s="324"/>
      <c r="D10" s="324"/>
      <c r="E10" s="324"/>
      <c r="F10" s="324"/>
      <c r="G10" s="4"/>
    </row>
    <row r="11" spans="1:7" s="2" customFormat="1" ht="16.5" hidden="1" customHeight="1" thickBot="1" x14ac:dyDescent="0.25">
      <c r="A11" s="325"/>
      <c r="B11" s="325"/>
      <c r="C11" s="325"/>
      <c r="D11" s="325"/>
      <c r="E11" s="325"/>
      <c r="F11" s="325"/>
      <c r="G11" s="4"/>
    </row>
    <row r="12" spans="1:7" s="2" customFormat="1" ht="16.5" customHeight="1" thickBot="1" x14ac:dyDescent="0.25">
      <c r="A12" s="322" t="s">
        <v>337</v>
      </c>
      <c r="B12" s="322"/>
      <c r="C12" s="322"/>
      <c r="D12" s="322"/>
      <c r="E12" s="322"/>
      <c r="F12" s="322"/>
      <c r="G12" s="4"/>
    </row>
    <row r="13" spans="1:7" s="6" customFormat="1" ht="18" customHeight="1" x14ac:dyDescent="0.2">
      <c r="A13" s="340" t="s">
        <v>332</v>
      </c>
      <c r="B13" s="340"/>
      <c r="C13" s="340"/>
      <c r="D13" s="340"/>
      <c r="E13" s="340"/>
      <c r="F13" s="340"/>
      <c r="G13" s="33"/>
    </row>
    <row r="14" spans="1:7" s="6" customFormat="1" ht="14.25" x14ac:dyDescent="0.2">
      <c r="A14" s="341"/>
      <c r="B14" s="341"/>
      <c r="C14" s="341"/>
      <c r="D14" s="341"/>
      <c r="E14" s="341"/>
      <c r="F14" s="341"/>
      <c r="G14" s="33"/>
    </row>
    <row r="15" spans="1:7" s="6" customFormat="1" ht="21.75" customHeight="1" x14ac:dyDescent="0.2">
      <c r="A15" s="331" t="s">
        <v>39</v>
      </c>
      <c r="B15" s="332"/>
      <c r="C15" s="332"/>
      <c r="D15" s="332"/>
      <c r="E15" s="332"/>
      <c r="F15" s="333"/>
      <c r="G15" s="33"/>
    </row>
    <row r="16" spans="1:7" s="2" customFormat="1" ht="10.9" customHeight="1" thickBot="1" x14ac:dyDescent="0.25">
      <c r="A16" s="127"/>
      <c r="B16" s="3"/>
      <c r="C16" s="3"/>
      <c r="D16" s="128"/>
      <c r="E16" s="128"/>
      <c r="F16" s="129"/>
      <c r="G16" s="4"/>
    </row>
    <row r="17" spans="1:7" s="2" customFormat="1" ht="10.9" customHeight="1" thickBot="1" x14ac:dyDescent="0.25">
      <c r="A17" s="337" t="s">
        <v>184</v>
      </c>
      <c r="B17" s="338"/>
      <c r="C17" s="338"/>
      <c r="D17" s="338"/>
      <c r="E17" s="338"/>
      <c r="F17" s="339"/>
      <c r="G17" s="4"/>
    </row>
    <row r="18" spans="1:7" s="2" customFormat="1" ht="10.9" customHeight="1" x14ac:dyDescent="0.2">
      <c r="A18" s="52" t="s">
        <v>183</v>
      </c>
      <c r="B18" s="34"/>
      <c r="C18" s="34"/>
      <c r="D18" s="216"/>
      <c r="E18" s="99" t="s">
        <v>34</v>
      </c>
      <c r="F18" s="35" t="s">
        <v>2</v>
      </c>
      <c r="G18" s="4"/>
    </row>
    <row r="19" spans="1:7" s="2" customFormat="1" ht="10.9" customHeight="1" x14ac:dyDescent="0.2">
      <c r="A19" s="107" t="s">
        <v>283</v>
      </c>
      <c r="B19" s="108"/>
      <c r="C19" s="109"/>
      <c r="D19" s="109"/>
      <c r="E19" s="213">
        <f>'1.1. COLETA'!F249</f>
        <v>29899.663133602597</v>
      </c>
      <c r="F19" s="110">
        <f>E19/$E$23</f>
        <v>0.68939039767401333</v>
      </c>
      <c r="G19" s="4"/>
    </row>
    <row r="20" spans="1:7" s="2" customFormat="1" ht="10.9" customHeight="1" x14ac:dyDescent="0.2">
      <c r="A20" s="107" t="s">
        <v>320</v>
      </c>
      <c r="B20" s="38"/>
      <c r="C20" s="39"/>
      <c r="D20" s="39"/>
      <c r="E20" s="213">
        <f>'1.2. RESPONSABILIDADE TÉCNICA'!F89</f>
        <v>3536.59</v>
      </c>
      <c r="F20" s="110">
        <f>E20/$E$23</f>
        <v>8.1542429946974943E-2</v>
      </c>
      <c r="G20" s="4"/>
    </row>
    <row r="21" spans="1:7" s="2" customFormat="1" ht="10.9" customHeight="1" x14ac:dyDescent="0.2">
      <c r="A21" s="107" t="s">
        <v>321</v>
      </c>
      <c r="B21" s="38"/>
      <c r="C21" s="39"/>
      <c r="D21" s="39"/>
      <c r="E21" s="213">
        <f>'1.3. TRANSPORTE'!F190</f>
        <v>9934.9096131999995</v>
      </c>
      <c r="F21" s="110">
        <f>E21/$E$23</f>
        <v>0.22906717237901167</v>
      </c>
      <c r="G21" s="4"/>
    </row>
    <row r="22" spans="1:7" s="2" customFormat="1" ht="10.9" customHeight="1" x14ac:dyDescent="0.2">
      <c r="A22" s="107" t="s">
        <v>322</v>
      </c>
      <c r="B22" s="38"/>
      <c r="C22" s="39"/>
      <c r="D22" s="39"/>
      <c r="E22" s="213">
        <f>'1.4. DESTINAÇÃO'!E33</f>
        <v>0</v>
      </c>
      <c r="F22" s="110">
        <f>E22/$E$23</f>
        <v>0</v>
      </c>
      <c r="G22" s="4"/>
    </row>
    <row r="23" spans="1:7" s="2" customFormat="1" ht="10.9" customHeight="1" x14ac:dyDescent="0.2">
      <c r="A23" s="107" t="s">
        <v>284</v>
      </c>
      <c r="B23" s="38"/>
      <c r="C23" s="39"/>
      <c r="D23" s="39"/>
      <c r="E23" s="214">
        <f>SUM(E19:E22)</f>
        <v>43371.162746802598</v>
      </c>
      <c r="F23" s="110">
        <f>E23/$E$23</f>
        <v>1</v>
      </c>
      <c r="G23" s="4"/>
    </row>
    <row r="24" spans="1:7" s="2" customFormat="1" ht="10.9" customHeight="1" x14ac:dyDescent="0.2">
      <c r="A24" s="41"/>
      <c r="B24" s="38"/>
      <c r="C24" s="39"/>
      <c r="D24" s="39"/>
      <c r="E24" s="214"/>
      <c r="F24" s="46"/>
      <c r="G24" s="4"/>
    </row>
    <row r="25" spans="1:7" s="2" customFormat="1" ht="10.9" customHeight="1" thickBot="1" x14ac:dyDescent="0.25">
      <c r="A25" s="285"/>
      <c r="B25" s="286"/>
      <c r="C25" s="286"/>
      <c r="D25" s="287"/>
      <c r="E25" s="287"/>
      <c r="F25" s="288"/>
      <c r="G25" s="4"/>
    </row>
    <row r="26" spans="1:7" s="2" customFormat="1" ht="23.25" customHeight="1" x14ac:dyDescent="0.2">
      <c r="A26" s="342" t="s">
        <v>319</v>
      </c>
      <c r="B26" s="342"/>
      <c r="C26" s="342"/>
      <c r="D26" s="342"/>
      <c r="E26" s="342"/>
      <c r="F26" s="342"/>
      <c r="G26" s="4"/>
    </row>
    <row r="27" spans="1:7" s="2" customFormat="1" ht="12.75" customHeight="1" x14ac:dyDescent="0.2">
      <c r="A27" s="343"/>
      <c r="B27" s="343"/>
      <c r="C27" s="343"/>
      <c r="D27" s="343"/>
      <c r="E27" s="343"/>
      <c r="F27" s="343"/>
      <c r="G27" s="4"/>
    </row>
    <row r="28" spans="1:7" s="2" customFormat="1" ht="15.75" thickBot="1" x14ac:dyDescent="0.25">
      <c r="A28" s="344" t="s">
        <v>285</v>
      </c>
      <c r="B28" s="345"/>
      <c r="C28" s="345"/>
      <c r="D28" s="345"/>
      <c r="E28" s="345"/>
      <c r="F28" s="346"/>
      <c r="G28" s="4"/>
    </row>
    <row r="29" spans="1:7" s="2" customFormat="1" ht="15.75" customHeight="1" thickBot="1" x14ac:dyDescent="0.25">
      <c r="A29" s="337" t="s">
        <v>184</v>
      </c>
      <c r="B29" s="338"/>
      <c r="C29" s="338"/>
      <c r="D29" s="338"/>
      <c r="E29" s="338"/>
      <c r="F29" s="339"/>
      <c r="G29" s="4"/>
    </row>
    <row r="30" spans="1:7" s="2" customFormat="1" ht="15.75" customHeight="1" x14ac:dyDescent="0.2">
      <c r="A30" s="52" t="s">
        <v>183</v>
      </c>
      <c r="B30" s="34"/>
      <c r="C30" s="34"/>
      <c r="D30" s="216"/>
      <c r="E30" s="99" t="s">
        <v>34</v>
      </c>
      <c r="F30" s="35" t="s">
        <v>2</v>
      </c>
      <c r="G30" s="4"/>
    </row>
    <row r="31" spans="1:7" s="2" customFormat="1" ht="15.75" customHeight="1" x14ac:dyDescent="0.2">
      <c r="A31" s="107" t="str">
        <f>A64</f>
        <v>1. Mão-de-obra</v>
      </c>
      <c r="B31" s="108"/>
      <c r="C31" s="109"/>
      <c r="D31" s="109"/>
      <c r="E31" s="213">
        <f>+F112</f>
        <v>11905.169059588481</v>
      </c>
      <c r="F31" s="110">
        <f t="shared" ref="F31:F48" si="0">IFERROR(E31/$E$49,0)</f>
        <v>0.39817067524780614</v>
      </c>
      <c r="G31" s="4"/>
    </row>
    <row r="32" spans="1:7" s="2" customFormat="1" ht="15.75" customHeight="1" x14ac:dyDescent="0.2">
      <c r="A32" s="41" t="str">
        <f>A66</f>
        <v>1.1. Coletor Turno Dia</v>
      </c>
      <c r="B32" s="38"/>
      <c r="C32" s="39"/>
      <c r="D32" s="39"/>
      <c r="E32" s="214">
        <f>F77</f>
        <v>9900.0051692400011</v>
      </c>
      <c r="F32" s="46">
        <f t="shared" si="0"/>
        <v>0.33110758221599917</v>
      </c>
      <c r="G32" s="4"/>
    </row>
    <row r="33" spans="1:7" s="2" customFormat="1" ht="15.75" customHeight="1" x14ac:dyDescent="0.2">
      <c r="A33" s="41" t="str">
        <f>A79</f>
        <v>1.2. Motorista Turno do Dia</v>
      </c>
      <c r="B33" s="38"/>
      <c r="C33" s="39"/>
      <c r="D33" s="39"/>
      <c r="E33" s="214">
        <f>F89</f>
        <v>2005.1638903484804</v>
      </c>
      <c r="F33" s="46">
        <f t="shared" si="0"/>
        <v>6.7063093031806978E-2</v>
      </c>
      <c r="G33" s="4"/>
    </row>
    <row r="34" spans="1:7" s="9" customFormat="1" ht="15.75" hidden="1" customHeight="1" x14ac:dyDescent="0.2">
      <c r="A34" s="41" t="str">
        <f>A92</f>
        <v>1.5. Vale Transporte</v>
      </c>
      <c r="B34" s="38"/>
      <c r="C34" s="39"/>
      <c r="D34" s="39"/>
      <c r="E34" s="214">
        <f>F98</f>
        <v>0</v>
      </c>
      <c r="F34" s="46">
        <f t="shared" si="0"/>
        <v>0</v>
      </c>
      <c r="G34" s="37"/>
    </row>
    <row r="35" spans="1:7" s="9" customFormat="1" ht="15.75" hidden="1" customHeight="1" x14ac:dyDescent="0.2">
      <c r="A35" s="41" t="str">
        <f>A100</f>
        <v>1.6. Vale-refeição (diário)</v>
      </c>
      <c r="B35" s="38"/>
      <c r="C35" s="39"/>
      <c r="D35" s="39"/>
      <c r="E35" s="214">
        <f>F104</f>
        <v>0</v>
      </c>
      <c r="F35" s="46">
        <f t="shared" si="0"/>
        <v>0</v>
      </c>
      <c r="G35" s="37"/>
    </row>
    <row r="36" spans="1:7" s="2" customFormat="1" ht="15.75" customHeight="1" x14ac:dyDescent="0.2">
      <c r="A36" s="41" t="str">
        <f>A106</f>
        <v>1.3. Auxílio Alimentação (mensal)</v>
      </c>
      <c r="B36" s="38"/>
      <c r="C36" s="39"/>
      <c r="D36" s="39"/>
      <c r="E36" s="214">
        <f>F110</f>
        <v>0</v>
      </c>
      <c r="F36" s="46">
        <f t="shared" si="0"/>
        <v>0</v>
      </c>
      <c r="G36" s="4"/>
    </row>
    <row r="37" spans="1:7" s="2" customFormat="1" ht="15.75" customHeight="1" x14ac:dyDescent="0.2">
      <c r="A37" s="329" t="str">
        <f>A114</f>
        <v>2. Uniformes e Equipamentos de Proteção Individual</v>
      </c>
      <c r="B37" s="330"/>
      <c r="C37" s="330"/>
      <c r="D37" s="109"/>
      <c r="E37" s="213">
        <f>+F146</f>
        <v>195.7</v>
      </c>
      <c r="F37" s="110">
        <f t="shared" si="0"/>
        <v>6.5452242430137433E-3</v>
      </c>
      <c r="G37" s="4"/>
    </row>
    <row r="38" spans="1:7" s="2" customFormat="1" ht="15.75" customHeight="1" x14ac:dyDescent="0.2">
      <c r="A38" s="118" t="str">
        <f>A148</f>
        <v>3. Veículos e Equipamentos</v>
      </c>
      <c r="B38" s="280"/>
      <c r="C38" s="109"/>
      <c r="D38" s="109"/>
      <c r="E38" s="213">
        <f>+F215</f>
        <v>11476.89704952381</v>
      </c>
      <c r="F38" s="110">
        <f t="shared" si="0"/>
        <v>0.38384703527397113</v>
      </c>
      <c r="G38" s="4"/>
    </row>
    <row r="39" spans="1:7" s="2" customFormat="1" ht="15.75" customHeight="1" x14ac:dyDescent="0.2">
      <c r="A39" s="53" t="str">
        <f>A150</f>
        <v>3.1. Veículo 6x2 Coletor Compactador 19 m³</v>
      </c>
      <c r="B39" s="281"/>
      <c r="C39" s="39"/>
      <c r="D39" s="39"/>
      <c r="E39" s="214">
        <f>SUM(E40:E45)</f>
        <v>11476.89704952381</v>
      </c>
      <c r="F39" s="122">
        <f t="shared" si="0"/>
        <v>0.38384703527397113</v>
      </c>
      <c r="G39" s="4"/>
    </row>
    <row r="40" spans="1:7" s="2" customFormat="1" ht="15.75" customHeight="1" x14ac:dyDescent="0.2">
      <c r="A40" s="53" t="str">
        <f>A152</f>
        <v>3.1.1. Depreciação</v>
      </c>
      <c r="B40" s="281"/>
      <c r="C40" s="39"/>
      <c r="D40" s="39"/>
      <c r="E40" s="214">
        <f>F161</f>
        <v>3526.6041666666665</v>
      </c>
      <c r="F40" s="122">
        <f t="shared" si="0"/>
        <v>0.11794795650066402</v>
      </c>
      <c r="G40" s="4"/>
    </row>
    <row r="41" spans="1:7" s="2" customFormat="1" ht="15.75" customHeight="1" x14ac:dyDescent="0.2">
      <c r="A41" s="53" t="str">
        <f>A163</f>
        <v>3.1.2. Remuneração do Capital</v>
      </c>
      <c r="B41" s="281"/>
      <c r="C41" s="39"/>
      <c r="D41" s="39"/>
      <c r="E41" s="214">
        <f>F172</f>
        <v>2064.46</v>
      </c>
      <c r="F41" s="122">
        <f t="shared" si="0"/>
        <v>6.9046262855044227E-2</v>
      </c>
      <c r="G41" s="4"/>
    </row>
    <row r="42" spans="1:7" s="2" customFormat="1" ht="15.75" customHeight="1" x14ac:dyDescent="0.2">
      <c r="A42" s="53" t="str">
        <f>A174</f>
        <v>3.1.3. Impostos e Seguros</v>
      </c>
      <c r="B42" s="281"/>
      <c r="C42" s="39"/>
      <c r="D42" s="39"/>
      <c r="E42" s="214">
        <f>F180</f>
        <v>1287.5</v>
      </c>
      <c r="F42" s="122">
        <f t="shared" si="0"/>
        <v>4.3060685809300947E-2</v>
      </c>
      <c r="G42" s="4"/>
    </row>
    <row r="43" spans="1:7" s="9" customFormat="1" ht="15.75" customHeight="1" x14ac:dyDescent="0.2">
      <c r="A43" s="53" t="str">
        <f>A182</f>
        <v>3.1.4. Consumos</v>
      </c>
      <c r="B43" s="281"/>
      <c r="C43" s="39"/>
      <c r="D43" s="39"/>
      <c r="E43" s="214">
        <f>F198</f>
        <v>1162.6648828571429</v>
      </c>
      <c r="F43" s="122">
        <f t="shared" si="0"/>
        <v>3.8885551240558536E-2</v>
      </c>
      <c r="G43" s="37"/>
    </row>
    <row r="44" spans="1:7" s="9" customFormat="1" ht="15.75" customHeight="1" x14ac:dyDescent="0.2">
      <c r="A44" s="53" t="str">
        <f>A200</f>
        <v>3.1.5. Manutenção</v>
      </c>
      <c r="B44" s="281"/>
      <c r="C44" s="39"/>
      <c r="D44" s="39"/>
      <c r="E44" s="214">
        <f>F203</f>
        <v>2770.7</v>
      </c>
      <c r="F44" s="122">
        <f t="shared" si="0"/>
        <v>9.266659586161563E-2</v>
      </c>
      <c r="G44" s="37"/>
    </row>
    <row r="45" spans="1:7" s="9" customFormat="1" ht="15.75" customHeight="1" x14ac:dyDescent="0.2">
      <c r="A45" s="53" t="str">
        <f>A205</f>
        <v>3.1.6. Pneus</v>
      </c>
      <c r="B45" s="281"/>
      <c r="C45" s="39"/>
      <c r="D45" s="39"/>
      <c r="E45" s="214">
        <f>F212</f>
        <v>664.96799999999996</v>
      </c>
      <c r="F45" s="122">
        <f t="shared" si="0"/>
        <v>2.2239983006787752E-2</v>
      </c>
      <c r="G45" s="37"/>
    </row>
    <row r="46" spans="1:7" s="9" customFormat="1" ht="15.75" customHeight="1" x14ac:dyDescent="0.2">
      <c r="A46" s="118" t="str">
        <f>A217</f>
        <v>4. Ferramentas e Materiais de Consumo</v>
      </c>
      <c r="B46" s="280"/>
      <c r="C46" s="109"/>
      <c r="D46" s="109"/>
      <c r="E46" s="213">
        <f>+F224</f>
        <v>99.999999999999986</v>
      </c>
      <c r="F46" s="110">
        <f t="shared" si="0"/>
        <v>3.3445192861592961E-3</v>
      </c>
      <c r="G46" s="37"/>
    </row>
    <row r="47" spans="1:7" s="9" customFormat="1" ht="15.75" customHeight="1" x14ac:dyDescent="0.2">
      <c r="A47" s="118" t="str">
        <f>A226</f>
        <v>5. Monitoramento da Frota</v>
      </c>
      <c r="B47" s="280"/>
      <c r="C47" s="109"/>
      <c r="D47" s="109"/>
      <c r="E47" s="213">
        <f>+F235</f>
        <v>146.66666666666666</v>
      </c>
      <c r="F47" s="110">
        <f t="shared" si="0"/>
        <v>4.9052949530336348E-3</v>
      </c>
      <c r="G47" s="37"/>
    </row>
    <row r="48" spans="1:7" ht="13.5" thickBot="1" x14ac:dyDescent="0.25">
      <c r="A48" s="118" t="str">
        <f>A240</f>
        <v>6. Benefícios e Despesas Indiretas - BDI</v>
      </c>
      <c r="B48" s="280"/>
      <c r="C48" s="109"/>
      <c r="D48" s="109"/>
      <c r="E48" s="215">
        <f>+F246</f>
        <v>6075.2303578236351</v>
      </c>
      <c r="F48" s="110">
        <f t="shared" si="0"/>
        <v>0.20318725099601592</v>
      </c>
    </row>
    <row r="49" spans="1:7" s="2" customFormat="1" ht="15" customHeight="1" thickBot="1" x14ac:dyDescent="0.25">
      <c r="A49" s="36" t="s">
        <v>216</v>
      </c>
      <c r="B49" s="282"/>
      <c r="C49" s="24"/>
      <c r="D49" s="24"/>
      <c r="E49" s="98">
        <f>E31+E37+E38+E46+E47+E48</f>
        <v>29899.663133602597</v>
      </c>
      <c r="F49" s="121">
        <f>F31+F37+F38+F46+F47+F48</f>
        <v>0.99999999999999978</v>
      </c>
      <c r="G49" s="4"/>
    </row>
    <row r="50" spans="1:7" s="2" customFormat="1" ht="15" customHeight="1" x14ac:dyDescent="0.2">
      <c r="A50" s="7"/>
      <c r="B50" s="7"/>
      <c r="C50" s="7"/>
      <c r="D50" s="8"/>
      <c r="E50" s="8"/>
      <c r="F50" s="8"/>
      <c r="G50" s="4"/>
    </row>
    <row r="51" spans="1:7" s="2" customFormat="1" ht="15" customHeight="1" thickBot="1" x14ac:dyDescent="0.25">
      <c r="A51" s="7"/>
      <c r="B51" s="7"/>
      <c r="C51" s="7"/>
      <c r="D51" s="8"/>
      <c r="E51" s="8"/>
      <c r="F51" s="8"/>
      <c r="G51" s="4"/>
    </row>
    <row r="52" spans="1:7" s="2" customFormat="1" ht="15" customHeight="1" thickBot="1" x14ac:dyDescent="0.25">
      <c r="A52" s="337" t="s">
        <v>90</v>
      </c>
      <c r="B52" s="338"/>
      <c r="C52" s="338"/>
      <c r="D52" s="338"/>
      <c r="E52" s="339"/>
      <c r="F52" s="8"/>
      <c r="G52" s="4"/>
    </row>
    <row r="53" spans="1:7" s="2" customFormat="1" ht="15" customHeight="1" thickBot="1" x14ac:dyDescent="0.25">
      <c r="A53" s="334" t="s">
        <v>35</v>
      </c>
      <c r="B53" s="335"/>
      <c r="C53" s="335"/>
      <c r="D53" s="336"/>
      <c r="E53" s="40" t="s">
        <v>36</v>
      </c>
      <c r="F53" s="8"/>
      <c r="G53" s="4"/>
    </row>
    <row r="54" spans="1:7" s="2" customFormat="1" ht="15" customHeight="1" x14ac:dyDescent="0.2">
      <c r="A54" s="266" t="str">
        <f>+A66</f>
        <v>1.1. Coletor Turno Dia</v>
      </c>
      <c r="B54" s="60"/>
      <c r="C54" s="60"/>
      <c r="D54" s="61"/>
      <c r="E54" s="62">
        <v>3</v>
      </c>
      <c r="F54" s="8"/>
      <c r="G54" s="4"/>
    </row>
    <row r="55" spans="1:7" s="2" customFormat="1" ht="15" customHeight="1" x14ac:dyDescent="0.2">
      <c r="A55" s="267" t="str">
        <f>+A79</f>
        <v>1.2. Motorista Turno do Dia</v>
      </c>
      <c r="B55" s="54"/>
      <c r="C55" s="54"/>
      <c r="D55" s="63"/>
      <c r="E55" s="57">
        <v>1</v>
      </c>
      <c r="F55" s="8"/>
      <c r="G55" s="4"/>
    </row>
    <row r="56" spans="1:7" s="2" customFormat="1" ht="15" customHeight="1" thickBot="1" x14ac:dyDescent="0.25">
      <c r="A56" s="58" t="s">
        <v>55</v>
      </c>
      <c r="B56" s="59"/>
      <c r="C56" s="59"/>
      <c r="D56" s="64"/>
      <c r="E56" s="65">
        <f>SUM(E54:E55)</f>
        <v>4</v>
      </c>
      <c r="F56" s="8"/>
      <c r="G56" s="4"/>
    </row>
    <row r="57" spans="1:7" s="2" customFormat="1" ht="15" customHeight="1" thickBot="1" x14ac:dyDescent="0.25">
      <c r="A57" s="111"/>
      <c r="B57" s="112"/>
      <c r="C57" s="47"/>
      <c r="D57" s="47"/>
      <c r="E57" s="113"/>
      <c r="F57" s="8"/>
      <c r="G57" s="4"/>
    </row>
    <row r="58" spans="1:7" s="2" customFormat="1" x14ac:dyDescent="0.2">
      <c r="A58" s="326" t="s">
        <v>52</v>
      </c>
      <c r="B58" s="327"/>
      <c r="C58" s="327"/>
      <c r="D58" s="328"/>
      <c r="E58" s="40" t="s">
        <v>36</v>
      </c>
      <c r="F58" s="7"/>
      <c r="G58" s="4"/>
    </row>
    <row r="59" spans="1:7" s="9" customFormat="1" ht="15.75" customHeight="1" thickBot="1" x14ac:dyDescent="0.25">
      <c r="A59" s="114" t="s">
        <v>305</v>
      </c>
      <c r="B59" s="115"/>
      <c r="C59" s="115"/>
      <c r="D59" s="116"/>
      <c r="E59" s="117">
        <f>C160</f>
        <v>1</v>
      </c>
      <c r="F59" s="7"/>
      <c r="G59" s="37"/>
    </row>
    <row r="60" spans="1:7" s="2" customFormat="1" ht="15.75" customHeight="1" x14ac:dyDescent="0.2">
      <c r="A60" s="47"/>
      <c r="B60" s="47"/>
      <c r="C60" s="47"/>
      <c r="D60" s="7"/>
      <c r="E60" s="212"/>
      <c r="F60" s="7"/>
      <c r="G60" s="4"/>
    </row>
    <row r="61" spans="1:7" ht="13.15" customHeight="1" thickBot="1" x14ac:dyDescent="0.25">
      <c r="A61" s="47"/>
      <c r="B61" s="47"/>
      <c r="C61" s="47"/>
      <c r="D61" s="7"/>
      <c r="E61" s="55"/>
      <c r="F61" s="7"/>
    </row>
    <row r="62" spans="1:7" ht="11.25" customHeight="1" thickBot="1" x14ac:dyDescent="0.25">
      <c r="A62" s="217" t="s">
        <v>180</v>
      </c>
      <c r="B62" s="293">
        <v>0.4</v>
      </c>
      <c r="C62" s="32"/>
      <c r="D62" s="9"/>
      <c r="E62" s="130"/>
      <c r="F62" s="9"/>
    </row>
    <row r="63" spans="1:7" ht="13.9" customHeight="1" x14ac:dyDescent="0.2">
      <c r="A63" s="47"/>
      <c r="B63" s="47"/>
      <c r="C63" s="47"/>
      <c r="D63" s="7"/>
      <c r="E63" s="55"/>
      <c r="F63" s="7"/>
    </row>
    <row r="64" spans="1:7" ht="13.9" customHeight="1" x14ac:dyDescent="0.2">
      <c r="A64" s="9" t="s">
        <v>43</v>
      </c>
    </row>
    <row r="65" spans="1:7" ht="13.15" customHeight="1" x14ac:dyDescent="0.2"/>
    <row r="66" spans="1:7" ht="13.5" thickBot="1" x14ac:dyDescent="0.25">
      <c r="A66" s="7" t="s">
        <v>92</v>
      </c>
    </row>
    <row r="67" spans="1:7" ht="13.15" customHeight="1" thickBot="1" x14ac:dyDescent="0.25">
      <c r="A67" s="48" t="s">
        <v>59</v>
      </c>
      <c r="B67" s="49" t="s">
        <v>60</v>
      </c>
      <c r="C67" s="49" t="s">
        <v>36</v>
      </c>
      <c r="D67" s="50" t="s">
        <v>212</v>
      </c>
      <c r="E67" s="50" t="s">
        <v>61</v>
      </c>
      <c r="F67" s="51" t="s">
        <v>62</v>
      </c>
    </row>
    <row r="68" spans="1:7" ht="13.15" customHeight="1" x14ac:dyDescent="0.2">
      <c r="A68" s="11" t="s">
        <v>192</v>
      </c>
      <c r="B68" s="12" t="s">
        <v>8</v>
      </c>
      <c r="C68" s="12">
        <v>3</v>
      </c>
      <c r="D68" s="71">
        <v>1710</v>
      </c>
      <c r="E68" s="13">
        <f>C68*D68</f>
        <v>5130</v>
      </c>
    </row>
    <row r="69" spans="1:7" x14ac:dyDescent="0.2">
      <c r="A69" s="14" t="s">
        <v>30</v>
      </c>
      <c r="B69" s="15" t="s">
        <v>0</v>
      </c>
      <c r="C69" s="72">
        <v>0</v>
      </c>
      <c r="D69" s="16">
        <f>D68/220*2</f>
        <v>15.545454545454545</v>
      </c>
      <c r="E69" s="16">
        <f>C69*D69</f>
        <v>0</v>
      </c>
    </row>
    <row r="70" spans="1:7" x14ac:dyDescent="0.2">
      <c r="A70" s="14" t="s">
        <v>31</v>
      </c>
      <c r="B70" s="15" t="s">
        <v>0</v>
      </c>
      <c r="C70" s="72">
        <v>0</v>
      </c>
      <c r="D70" s="16">
        <f>D68/220*1.5</f>
        <v>11.659090909090908</v>
      </c>
      <c r="E70" s="16">
        <f>C70*D70</f>
        <v>0</v>
      </c>
    </row>
    <row r="71" spans="1:7" x14ac:dyDescent="0.2">
      <c r="A71" s="14" t="s">
        <v>194</v>
      </c>
      <c r="B71" s="15" t="s">
        <v>29</v>
      </c>
      <c r="D71" s="16">
        <f>63/302*(SUM(E69:E70))</f>
        <v>0</v>
      </c>
      <c r="E71" s="16">
        <f>D71</f>
        <v>0</v>
      </c>
    </row>
    <row r="72" spans="1:7" x14ac:dyDescent="0.2">
      <c r="A72" s="14" t="s">
        <v>1</v>
      </c>
      <c r="B72" s="15" t="s">
        <v>2</v>
      </c>
      <c r="C72" s="15">
        <v>40</v>
      </c>
      <c r="D72" s="67">
        <f>SUM(E68:E71)</f>
        <v>5130</v>
      </c>
      <c r="E72" s="16">
        <f>C72*D72/100</f>
        <v>2052</v>
      </c>
    </row>
    <row r="73" spans="1:7" x14ac:dyDescent="0.2">
      <c r="A73" s="100" t="s">
        <v>3</v>
      </c>
      <c r="B73" s="101"/>
      <c r="C73" s="101"/>
      <c r="D73" s="102"/>
      <c r="E73" s="103">
        <f>SUM(E68:E72)</f>
        <v>7182</v>
      </c>
      <c r="G73" s="4"/>
    </row>
    <row r="74" spans="1:7" ht="13.9" customHeight="1" x14ac:dyDescent="0.2">
      <c r="A74" s="14" t="s">
        <v>4</v>
      </c>
      <c r="B74" s="15" t="s">
        <v>2</v>
      </c>
      <c r="C74" s="120">
        <f>'2.Encargos Sociais'!$C$37*100</f>
        <v>70.356014999999999</v>
      </c>
      <c r="D74" s="16">
        <v>1518</v>
      </c>
      <c r="E74" s="16">
        <f>D74*C74/100</f>
        <v>1068.0043077</v>
      </c>
      <c r="G74" s="4"/>
    </row>
    <row r="75" spans="1:7" ht="11.25" customHeight="1" x14ac:dyDescent="0.2">
      <c r="A75" s="100" t="s">
        <v>67</v>
      </c>
      <c r="B75" s="101"/>
      <c r="C75" s="101"/>
      <c r="D75" s="102"/>
      <c r="E75" s="103">
        <f>E73+E74</f>
        <v>8250.0043077000009</v>
      </c>
    </row>
    <row r="76" spans="1:7" ht="13.5" thickBot="1" x14ac:dyDescent="0.25">
      <c r="A76" s="14" t="s">
        <v>5</v>
      </c>
      <c r="B76" s="15" t="s">
        <v>6</v>
      </c>
      <c r="C76" s="70">
        <v>3</v>
      </c>
      <c r="D76" s="16">
        <f>E75</f>
        <v>8250.0043077000009</v>
      </c>
      <c r="E76" s="16">
        <f>C76*D76</f>
        <v>24750.012923100003</v>
      </c>
    </row>
    <row r="77" spans="1:7" ht="13.5" thickBot="1" x14ac:dyDescent="0.25">
      <c r="D77" s="105" t="s">
        <v>179</v>
      </c>
      <c r="E77" s="42">
        <f>$B$62</f>
        <v>0.4</v>
      </c>
      <c r="F77" s="106">
        <f>E76*E77</f>
        <v>9900.0051692400011</v>
      </c>
    </row>
    <row r="79" spans="1:7" ht="13.5" thickBot="1" x14ac:dyDescent="0.25">
      <c r="A79" s="5" t="s">
        <v>311</v>
      </c>
    </row>
    <row r="80" spans="1:7" ht="13.5" thickBot="1" x14ac:dyDescent="0.25">
      <c r="A80" s="48" t="s">
        <v>59</v>
      </c>
      <c r="B80" s="49" t="s">
        <v>60</v>
      </c>
      <c r="C80" s="49" t="s">
        <v>36</v>
      </c>
      <c r="D80" s="50" t="s">
        <v>212</v>
      </c>
      <c r="E80" s="50" t="s">
        <v>61</v>
      </c>
      <c r="F80" s="51" t="s">
        <v>62</v>
      </c>
    </row>
    <row r="81" spans="1:7" x14ac:dyDescent="0.2">
      <c r="A81" s="255" t="s">
        <v>261</v>
      </c>
      <c r="B81" s="12" t="s">
        <v>8</v>
      </c>
      <c r="C81" s="12">
        <v>1</v>
      </c>
      <c r="D81" s="71">
        <v>2284</v>
      </c>
      <c r="E81" s="13">
        <f>C81*D81</f>
        <v>2284</v>
      </c>
    </row>
    <row r="82" spans="1:7" x14ac:dyDescent="0.2">
      <c r="A82" s="255" t="s">
        <v>262</v>
      </c>
      <c r="B82" s="12" t="s">
        <v>8</v>
      </c>
      <c r="C82" s="12">
        <v>1</v>
      </c>
      <c r="D82" s="71">
        <v>1518</v>
      </c>
      <c r="E82" s="13"/>
    </row>
    <row r="83" spans="1:7" x14ac:dyDescent="0.2">
      <c r="A83" s="14" t="s">
        <v>193</v>
      </c>
      <c r="B83" s="15"/>
      <c r="C83" s="74">
        <v>2284</v>
      </c>
      <c r="D83" s="16"/>
      <c r="E83" s="16"/>
    </row>
    <row r="84" spans="1:7" x14ac:dyDescent="0.2">
      <c r="A84" s="14" t="s">
        <v>1</v>
      </c>
      <c r="B84" s="15" t="s">
        <v>2</v>
      </c>
      <c r="C84" s="70">
        <v>40</v>
      </c>
      <c r="D84" s="67">
        <v>1646.52</v>
      </c>
      <c r="E84" s="16">
        <f>C84*D84/100</f>
        <v>658.60800000000006</v>
      </c>
    </row>
    <row r="85" spans="1:7" x14ac:dyDescent="0.2">
      <c r="A85" s="86" t="s">
        <v>3</v>
      </c>
      <c r="B85" s="101"/>
      <c r="C85" s="101"/>
      <c r="D85" s="102"/>
      <c r="E85" s="88">
        <f>SUM(E81:E84)</f>
        <v>2942.6080000000002</v>
      </c>
      <c r="F85" s="37"/>
    </row>
    <row r="86" spans="1:7" x14ac:dyDescent="0.2">
      <c r="A86" s="14" t="s">
        <v>4</v>
      </c>
      <c r="B86" s="15" t="s">
        <v>2</v>
      </c>
      <c r="C86" s="120">
        <f>'2.Encargos Sociais'!$C$37*100</f>
        <v>70.356014999999999</v>
      </c>
      <c r="D86" s="16">
        <f>E85</f>
        <v>2942.6080000000002</v>
      </c>
      <c r="E86" s="16">
        <f>D86*C86/100</f>
        <v>2070.3017258712002</v>
      </c>
    </row>
    <row r="87" spans="1:7" ht="11.25" customHeight="1" x14ac:dyDescent="0.2">
      <c r="A87" s="86" t="s">
        <v>227</v>
      </c>
      <c r="B87" s="223"/>
      <c r="C87" s="223"/>
      <c r="D87" s="224"/>
      <c r="E87" s="88">
        <f>E85+E86</f>
        <v>5012.9097258712009</v>
      </c>
      <c r="F87" s="37"/>
    </row>
    <row r="88" spans="1:7" ht="13.5" thickBot="1" x14ac:dyDescent="0.25">
      <c r="A88" s="14" t="s">
        <v>5</v>
      </c>
      <c r="B88" s="15" t="s">
        <v>6</v>
      </c>
      <c r="C88" s="70">
        <v>1</v>
      </c>
      <c r="D88" s="16">
        <f>E87</f>
        <v>5012.9097258712009</v>
      </c>
      <c r="E88" s="16">
        <f>C88*D88</f>
        <v>5012.9097258712009</v>
      </c>
    </row>
    <row r="89" spans="1:7" s="10" customFormat="1" ht="13.15" customHeight="1" thickBot="1" x14ac:dyDescent="0.25">
      <c r="A89" s="7"/>
      <c r="B89" s="7"/>
      <c r="C89" s="7"/>
      <c r="D89" s="105" t="s">
        <v>179</v>
      </c>
      <c r="E89" s="42">
        <f>$B$62</f>
        <v>0.4</v>
      </c>
      <c r="F89" s="106">
        <f>E88*E89</f>
        <v>2005.1638903484804</v>
      </c>
      <c r="G89" s="8"/>
    </row>
    <row r="92" spans="1:7" ht="13.5" hidden="1" thickBot="1" x14ac:dyDescent="0.25">
      <c r="A92" s="7" t="s">
        <v>94</v>
      </c>
      <c r="B92" s="77"/>
      <c r="D92" s="7"/>
      <c r="E92" s="7"/>
    </row>
    <row r="93" spans="1:7" ht="13.5" hidden="1" thickBot="1" x14ac:dyDescent="0.25">
      <c r="A93" s="48" t="s">
        <v>59</v>
      </c>
      <c r="B93" s="49" t="s">
        <v>60</v>
      </c>
      <c r="C93" s="49" t="s">
        <v>36</v>
      </c>
      <c r="D93" s="50" t="s">
        <v>212</v>
      </c>
      <c r="E93" s="50" t="s">
        <v>61</v>
      </c>
      <c r="F93" s="51" t="s">
        <v>62</v>
      </c>
    </row>
    <row r="94" spans="1:7" s="9" customFormat="1" hidden="1" x14ac:dyDescent="0.2">
      <c r="A94" s="14" t="s">
        <v>85</v>
      </c>
      <c r="B94" s="15" t="s">
        <v>29</v>
      </c>
      <c r="C94" s="78">
        <v>1</v>
      </c>
      <c r="D94" s="76"/>
      <c r="E94" s="16"/>
      <c r="F94" s="8"/>
      <c r="G94" s="37"/>
    </row>
    <row r="95" spans="1:7" hidden="1" x14ac:dyDescent="0.2">
      <c r="A95" s="14" t="s">
        <v>86</v>
      </c>
      <c r="B95" s="15" t="s">
        <v>87</v>
      </c>
      <c r="C95" s="75"/>
      <c r="D95" s="16"/>
      <c r="E95" s="16"/>
    </row>
    <row r="96" spans="1:7" s="9" customFormat="1" hidden="1" x14ac:dyDescent="0.2">
      <c r="A96" s="14" t="s">
        <v>68</v>
      </c>
      <c r="B96" s="15" t="s">
        <v>9</v>
      </c>
      <c r="C96" s="268">
        <f>C95*2*(C76)</f>
        <v>0</v>
      </c>
      <c r="D96" s="13" t="str">
        <f>IFERROR(((C95*2*D94)-(E68*0.06*C95/26))/(C95*2),"-")</f>
        <v>-</v>
      </c>
      <c r="E96" s="16" t="str">
        <f>IFERROR(C96*D96,"-")</f>
        <v>-</v>
      </c>
      <c r="F96" s="8"/>
      <c r="G96" s="37"/>
    </row>
    <row r="97" spans="1:7" ht="13.5" hidden="1" thickBot="1" x14ac:dyDescent="0.25">
      <c r="A97" s="11" t="s">
        <v>40</v>
      </c>
      <c r="B97" s="12" t="s">
        <v>9</v>
      </c>
      <c r="C97" s="268">
        <f>C95*2*(C88)</f>
        <v>0</v>
      </c>
      <c r="D97" s="13" t="str">
        <f>IFERROR((($C$95*2*$D$94)-(E81*0.06*C95/26))/($C$95*2),"-")</f>
        <v>-</v>
      </c>
      <c r="E97" s="13" t="str">
        <f>IFERROR(C97*D97,"-")</f>
        <v>-</v>
      </c>
    </row>
    <row r="98" spans="1:7" ht="13.5" hidden="1" thickBot="1" x14ac:dyDescent="0.25">
      <c r="F98" s="20">
        <f>SUM(E96:E97)</f>
        <v>0</v>
      </c>
    </row>
    <row r="99" spans="1:7" ht="11.25" hidden="1" customHeight="1" x14ac:dyDescent="0.2"/>
    <row r="100" spans="1:7" ht="13.5" hidden="1" thickBot="1" x14ac:dyDescent="0.25">
      <c r="A100" s="7" t="s">
        <v>108</v>
      </c>
      <c r="F100" s="21"/>
    </row>
    <row r="101" spans="1:7" ht="13.5" hidden="1" thickBot="1" x14ac:dyDescent="0.25">
      <c r="A101" s="48" t="s">
        <v>59</v>
      </c>
      <c r="B101" s="49" t="s">
        <v>60</v>
      </c>
      <c r="C101" s="49" t="s">
        <v>36</v>
      </c>
      <c r="D101" s="50" t="s">
        <v>212</v>
      </c>
      <c r="E101" s="50" t="s">
        <v>61</v>
      </c>
      <c r="F101" s="51" t="s">
        <v>62</v>
      </c>
    </row>
    <row r="102" spans="1:7" hidden="1" x14ac:dyDescent="0.2">
      <c r="A102" s="14" t="str">
        <f>+A96</f>
        <v>Coletor</v>
      </c>
      <c r="B102" s="15" t="s">
        <v>10</v>
      </c>
      <c r="C102" s="85">
        <f>C95*(E54)</f>
        <v>0</v>
      </c>
      <c r="D102" s="73">
        <v>0</v>
      </c>
      <c r="E102" s="42">
        <f>C102*D102</f>
        <v>0</v>
      </c>
      <c r="F102" s="21"/>
    </row>
    <row r="103" spans="1:7" ht="13.5" hidden="1" thickBot="1" x14ac:dyDescent="0.25">
      <c r="A103" s="14" t="str">
        <f>+A97</f>
        <v>Motorista</v>
      </c>
      <c r="B103" s="15" t="s">
        <v>10</v>
      </c>
      <c r="C103" s="85">
        <f>C95*(E55)</f>
        <v>0</v>
      </c>
      <c r="D103" s="73">
        <v>0</v>
      </c>
      <c r="E103" s="42">
        <f>C103*D103</f>
        <v>0</v>
      </c>
      <c r="F103" s="21"/>
    </row>
    <row r="104" spans="1:7" ht="13.5" hidden="1" thickBot="1" x14ac:dyDescent="0.25">
      <c r="A104"/>
      <c r="B104"/>
      <c r="C104"/>
      <c r="D104"/>
      <c r="E104"/>
      <c r="F104" s="20">
        <f>SUM(E102:E103)</f>
        <v>0</v>
      </c>
    </row>
    <row r="105" spans="1:7" hidden="1" x14ac:dyDescent="0.2"/>
    <row r="106" spans="1:7" ht="13.5" thickBot="1" x14ac:dyDescent="0.25">
      <c r="A106" s="5" t="s">
        <v>312</v>
      </c>
      <c r="F106" s="21"/>
    </row>
    <row r="107" spans="1:7" ht="13.5" thickBot="1" x14ac:dyDescent="0.25">
      <c r="A107" s="48" t="s">
        <v>59</v>
      </c>
      <c r="B107" s="49" t="s">
        <v>60</v>
      </c>
      <c r="C107" s="49" t="s">
        <v>36</v>
      </c>
      <c r="D107" s="50" t="s">
        <v>212</v>
      </c>
      <c r="E107" s="50" t="s">
        <v>61</v>
      </c>
      <c r="F107" s="51" t="s">
        <v>62</v>
      </c>
    </row>
    <row r="108" spans="1:7" s="9" customFormat="1" x14ac:dyDescent="0.2">
      <c r="A108" s="14" t="str">
        <f>+A102</f>
        <v>Coletor</v>
      </c>
      <c r="B108" s="15" t="s">
        <v>10</v>
      </c>
      <c r="C108" s="85">
        <v>3</v>
      </c>
      <c r="D108" s="73">
        <v>0</v>
      </c>
      <c r="E108" s="42">
        <f>C108*D108</f>
        <v>0</v>
      </c>
      <c r="F108" s="21"/>
      <c r="G108" s="37"/>
    </row>
    <row r="109" spans="1:7" ht="13.5" thickBot="1" x14ac:dyDescent="0.25">
      <c r="A109" s="14" t="str">
        <f>+A103</f>
        <v>Motorista</v>
      </c>
      <c r="B109" s="15" t="s">
        <v>10</v>
      </c>
      <c r="C109" s="85">
        <f>C88</f>
        <v>1</v>
      </c>
      <c r="D109" s="73">
        <v>0</v>
      </c>
      <c r="E109" s="42">
        <f>C109*D109</f>
        <v>0</v>
      </c>
      <c r="F109" s="21"/>
    </row>
    <row r="110" spans="1:7" s="9" customFormat="1" ht="13.5" thickBot="1" x14ac:dyDescent="0.25">
      <c r="A110" s="7"/>
      <c r="B110" s="7"/>
      <c r="C110" s="7"/>
      <c r="D110" s="105" t="s">
        <v>179</v>
      </c>
      <c r="E110" s="42">
        <f>$B$62</f>
        <v>0.4</v>
      </c>
      <c r="F110" s="20">
        <f>SUM(E108:E109)*E110</f>
        <v>0</v>
      </c>
      <c r="G110" s="37"/>
    </row>
    <row r="111" spans="1:7" ht="13.5" thickBot="1" x14ac:dyDescent="0.25"/>
    <row r="112" spans="1:7" ht="13.5" thickBot="1" x14ac:dyDescent="0.25">
      <c r="A112" s="22" t="s">
        <v>88</v>
      </c>
      <c r="B112" s="23"/>
      <c r="C112" s="23"/>
      <c r="D112" s="24"/>
      <c r="E112" s="25"/>
      <c r="F112" s="20">
        <f>F110+F104+F98+F89+F77</f>
        <v>11905.169059588481</v>
      </c>
    </row>
    <row r="113" spans="1:7" ht="11.25" customHeight="1" x14ac:dyDescent="0.2">
      <c r="G113" s="7"/>
    </row>
    <row r="114" spans="1:7" x14ac:dyDescent="0.2">
      <c r="A114" s="9" t="s">
        <v>41</v>
      </c>
      <c r="G114" s="7"/>
    </row>
    <row r="115" spans="1:7" x14ac:dyDescent="0.2">
      <c r="G115" s="7"/>
    </row>
    <row r="116" spans="1:7" x14ac:dyDescent="0.2">
      <c r="A116" s="7" t="s">
        <v>181</v>
      </c>
      <c r="G116" s="7"/>
    </row>
    <row r="117" spans="1:7" ht="13.5" thickBot="1" x14ac:dyDescent="0.25">
      <c r="G117" s="7"/>
    </row>
    <row r="118" spans="1:7" ht="24.75" thickBot="1" x14ac:dyDescent="0.25">
      <c r="A118" s="48" t="s">
        <v>59</v>
      </c>
      <c r="B118" s="49" t="s">
        <v>60</v>
      </c>
      <c r="C118" s="225" t="s">
        <v>228</v>
      </c>
      <c r="D118" s="50" t="s">
        <v>212</v>
      </c>
      <c r="E118" s="50" t="s">
        <v>61</v>
      </c>
      <c r="F118" s="51" t="s">
        <v>62</v>
      </c>
      <c r="G118" s="7"/>
    </row>
    <row r="119" spans="1:7" x14ac:dyDescent="0.2">
      <c r="A119" s="255" t="s">
        <v>63</v>
      </c>
      <c r="B119" s="279" t="s">
        <v>10</v>
      </c>
      <c r="C119" s="294">
        <v>12</v>
      </c>
      <c r="D119" s="295">
        <v>150</v>
      </c>
      <c r="E119" s="298">
        <f>IFERROR(D119/C119,0)</f>
        <v>12.5</v>
      </c>
      <c r="G119" s="7"/>
    </row>
    <row r="120" spans="1:7" x14ac:dyDescent="0.2">
      <c r="A120" s="262" t="s">
        <v>25</v>
      </c>
      <c r="B120" s="270" t="s">
        <v>10</v>
      </c>
      <c r="C120" s="294">
        <v>6</v>
      </c>
      <c r="D120" s="295">
        <v>40</v>
      </c>
      <c r="E120" s="298">
        <f t="shared" ref="E120:E128" si="1">IFERROR(D120/C120,0)</f>
        <v>6.666666666666667</v>
      </c>
      <c r="G120" s="7"/>
    </row>
    <row r="121" spans="1:7" ht="11.25" customHeight="1" x14ac:dyDescent="0.2">
      <c r="A121" s="262" t="s">
        <v>26</v>
      </c>
      <c r="B121" s="270" t="s">
        <v>10</v>
      </c>
      <c r="C121" s="294">
        <v>2</v>
      </c>
      <c r="D121" s="295">
        <v>25</v>
      </c>
      <c r="E121" s="298">
        <f t="shared" si="1"/>
        <v>12.5</v>
      </c>
      <c r="G121" s="7"/>
    </row>
    <row r="122" spans="1:7" x14ac:dyDescent="0.2">
      <c r="A122" s="262" t="s">
        <v>27</v>
      </c>
      <c r="B122" s="270" t="s">
        <v>10</v>
      </c>
      <c r="C122" s="294">
        <v>12</v>
      </c>
      <c r="D122" s="295">
        <v>25</v>
      </c>
      <c r="E122" s="298">
        <f t="shared" si="1"/>
        <v>2.0833333333333335</v>
      </c>
      <c r="G122" s="7"/>
    </row>
    <row r="123" spans="1:7" x14ac:dyDescent="0.2">
      <c r="A123" s="262" t="s">
        <v>65</v>
      </c>
      <c r="B123" s="270" t="s">
        <v>44</v>
      </c>
      <c r="C123" s="294">
        <v>2</v>
      </c>
      <c r="D123" s="295">
        <v>60</v>
      </c>
      <c r="E123" s="298">
        <f t="shared" si="1"/>
        <v>30</v>
      </c>
      <c r="G123" s="7"/>
    </row>
    <row r="124" spans="1:7" x14ac:dyDescent="0.2">
      <c r="A124" s="262" t="s">
        <v>89</v>
      </c>
      <c r="B124" s="270" t="s">
        <v>44</v>
      </c>
      <c r="C124" s="294">
        <v>1</v>
      </c>
      <c r="D124" s="295">
        <v>3</v>
      </c>
      <c r="E124" s="298">
        <f t="shared" si="1"/>
        <v>3</v>
      </c>
      <c r="G124" s="7"/>
    </row>
    <row r="125" spans="1:7" x14ac:dyDescent="0.2">
      <c r="A125" s="262" t="s">
        <v>64</v>
      </c>
      <c r="B125" s="270" t="s">
        <v>10</v>
      </c>
      <c r="C125" s="294">
        <v>1</v>
      </c>
      <c r="D125" s="295">
        <v>19</v>
      </c>
      <c r="E125" s="298">
        <f t="shared" si="1"/>
        <v>19</v>
      </c>
      <c r="G125" s="7"/>
    </row>
    <row r="126" spans="1:7" x14ac:dyDescent="0.2">
      <c r="A126" s="296" t="s">
        <v>306</v>
      </c>
      <c r="B126" s="297" t="s">
        <v>10</v>
      </c>
      <c r="C126" s="294">
        <v>4</v>
      </c>
      <c r="D126" s="295">
        <v>20</v>
      </c>
      <c r="E126" s="298">
        <f t="shared" si="1"/>
        <v>5</v>
      </c>
      <c r="G126" s="7"/>
    </row>
    <row r="127" spans="1:7" x14ac:dyDescent="0.2">
      <c r="A127" s="262" t="s">
        <v>28</v>
      </c>
      <c r="B127" s="270" t="s">
        <v>44</v>
      </c>
      <c r="C127" s="294">
        <v>0.5</v>
      </c>
      <c r="D127" s="295">
        <v>12</v>
      </c>
      <c r="E127" s="298">
        <f t="shared" si="1"/>
        <v>24</v>
      </c>
      <c r="G127" s="7"/>
    </row>
    <row r="128" spans="1:7" x14ac:dyDescent="0.2">
      <c r="A128" s="262" t="s">
        <v>307</v>
      </c>
      <c r="B128" s="270" t="s">
        <v>45</v>
      </c>
      <c r="C128" s="294">
        <v>1</v>
      </c>
      <c r="D128" s="295">
        <v>24</v>
      </c>
      <c r="E128" s="298">
        <f t="shared" si="1"/>
        <v>24</v>
      </c>
      <c r="G128" s="7"/>
    </row>
    <row r="129" spans="1:7" x14ac:dyDescent="0.2">
      <c r="A129" s="262" t="s">
        <v>308</v>
      </c>
      <c r="B129" s="270" t="s">
        <v>279</v>
      </c>
      <c r="C129" s="269"/>
      <c r="D129" s="295">
        <v>50</v>
      </c>
      <c r="E129" s="271">
        <f>C129*D129</f>
        <v>0</v>
      </c>
      <c r="G129" s="7"/>
    </row>
    <row r="130" spans="1:7" ht="13.5" thickBot="1" x14ac:dyDescent="0.25">
      <c r="A130" s="14" t="s">
        <v>5</v>
      </c>
      <c r="B130" s="15" t="s">
        <v>6</v>
      </c>
      <c r="C130" s="269">
        <v>3</v>
      </c>
      <c r="D130" s="16">
        <f>+SUM(E119:E129)</f>
        <v>138.75</v>
      </c>
      <c r="E130" s="16">
        <f>C130*D130</f>
        <v>416.25</v>
      </c>
      <c r="G130" s="7"/>
    </row>
    <row r="131" spans="1:7" ht="13.5" thickBot="1" x14ac:dyDescent="0.25">
      <c r="D131" s="105" t="s">
        <v>179</v>
      </c>
      <c r="E131" s="42">
        <f>$B$62</f>
        <v>0.4</v>
      </c>
      <c r="F131" s="106">
        <f>E130*E131</f>
        <v>166.5</v>
      </c>
      <c r="G131" s="7"/>
    </row>
    <row r="132" spans="1:7" x14ac:dyDescent="0.2">
      <c r="G132" s="7"/>
    </row>
    <row r="133" spans="1:7" x14ac:dyDescent="0.2">
      <c r="A133" s="5" t="s">
        <v>333</v>
      </c>
      <c r="G133" s="7"/>
    </row>
    <row r="134" spans="1:7" ht="13.5" thickBot="1" x14ac:dyDescent="0.25">
      <c r="G134" s="7"/>
    </row>
    <row r="135" spans="1:7" ht="24.75" thickBot="1" x14ac:dyDescent="0.25">
      <c r="A135" s="48" t="s">
        <v>59</v>
      </c>
      <c r="B135" s="49" t="s">
        <v>60</v>
      </c>
      <c r="C135" s="225" t="s">
        <v>228</v>
      </c>
      <c r="D135" s="50" t="s">
        <v>212</v>
      </c>
      <c r="E135" s="50" t="s">
        <v>61</v>
      </c>
      <c r="F135" s="51" t="s">
        <v>62</v>
      </c>
      <c r="G135" s="7"/>
    </row>
    <row r="136" spans="1:7" x14ac:dyDescent="0.2">
      <c r="A136" s="11" t="s">
        <v>63</v>
      </c>
      <c r="B136" s="12" t="s">
        <v>10</v>
      </c>
      <c r="C136" s="299">
        <v>12</v>
      </c>
      <c r="D136" s="298">
        <f>+D119</f>
        <v>150</v>
      </c>
      <c r="E136" s="13">
        <f t="shared" ref="E136:E141" si="2">IFERROR(D136/C136,0)</f>
        <v>12.5</v>
      </c>
    </row>
    <row r="137" spans="1:7" x14ac:dyDescent="0.2">
      <c r="A137" s="14" t="s">
        <v>25</v>
      </c>
      <c r="B137" s="15" t="s">
        <v>10</v>
      </c>
      <c r="C137" s="299">
        <v>8</v>
      </c>
      <c r="D137" s="271">
        <f>+D120</f>
        <v>40</v>
      </c>
      <c r="E137" s="13">
        <f t="shared" si="2"/>
        <v>5</v>
      </c>
      <c r="G137" s="7"/>
    </row>
    <row r="138" spans="1:7" ht="11.25" customHeight="1" x14ac:dyDescent="0.2">
      <c r="A138" s="14" t="s">
        <v>26</v>
      </c>
      <c r="B138" s="15" t="s">
        <v>10</v>
      </c>
      <c r="C138" s="299">
        <v>3</v>
      </c>
      <c r="D138" s="271">
        <f>+D121</f>
        <v>25</v>
      </c>
      <c r="E138" s="13">
        <f t="shared" si="2"/>
        <v>8.3333333333333339</v>
      </c>
      <c r="G138" s="7"/>
    </row>
    <row r="139" spans="1:7" ht="13.9" customHeight="1" x14ac:dyDescent="0.2">
      <c r="A139" s="14" t="s">
        <v>65</v>
      </c>
      <c r="B139" s="15" t="s">
        <v>44</v>
      </c>
      <c r="C139" s="299">
        <v>3</v>
      </c>
      <c r="D139" s="271">
        <f>+D123</f>
        <v>60</v>
      </c>
      <c r="E139" s="13">
        <f t="shared" si="2"/>
        <v>20</v>
      </c>
      <c r="G139" s="7"/>
    </row>
    <row r="140" spans="1:7" ht="11.25" customHeight="1" x14ac:dyDescent="0.2">
      <c r="A140" s="14" t="s">
        <v>64</v>
      </c>
      <c r="B140" s="15" t="s">
        <v>10</v>
      </c>
      <c r="C140" s="299">
        <v>6</v>
      </c>
      <c r="D140" s="271">
        <f>+D125</f>
        <v>19</v>
      </c>
      <c r="E140" s="13">
        <f t="shared" si="2"/>
        <v>3.1666666666666665</v>
      </c>
      <c r="G140" s="7"/>
    </row>
    <row r="141" spans="1:7" ht="27.75" customHeight="1" x14ac:dyDescent="0.2">
      <c r="A141" s="262" t="s">
        <v>273</v>
      </c>
      <c r="B141" s="15" t="s">
        <v>45</v>
      </c>
      <c r="C141" s="300">
        <v>1</v>
      </c>
      <c r="D141" s="271">
        <f>+D128</f>
        <v>24</v>
      </c>
      <c r="E141" s="13">
        <f t="shared" si="2"/>
        <v>24</v>
      </c>
      <c r="G141" s="7"/>
    </row>
    <row r="142" spans="1:7" x14ac:dyDescent="0.2">
      <c r="A142" s="262" t="s">
        <v>278</v>
      </c>
      <c r="B142" s="270" t="s">
        <v>279</v>
      </c>
      <c r="C142" s="278">
        <v>1</v>
      </c>
      <c r="D142" s="16">
        <f>+D129</f>
        <v>50</v>
      </c>
      <c r="E142" s="13">
        <f>IFERROR(D129/C129,0)</f>
        <v>0</v>
      </c>
      <c r="G142" s="7"/>
    </row>
    <row r="143" spans="1:7" ht="13.15" customHeight="1" thickBot="1" x14ac:dyDescent="0.25">
      <c r="A143" s="14" t="s">
        <v>5</v>
      </c>
      <c r="B143" s="15" t="s">
        <v>6</v>
      </c>
      <c r="C143" s="56">
        <v>1</v>
      </c>
      <c r="D143" s="16">
        <f>+SUM(E136:E142)</f>
        <v>73</v>
      </c>
      <c r="E143" s="16">
        <f>C143*D143</f>
        <v>73</v>
      </c>
      <c r="G143" s="7"/>
    </row>
    <row r="144" spans="1:7" ht="13.5" thickBot="1" x14ac:dyDescent="0.25">
      <c r="D144" s="105" t="s">
        <v>179</v>
      </c>
      <c r="E144" s="42">
        <f>$B$62</f>
        <v>0.4</v>
      </c>
      <c r="F144" s="106">
        <f>E143*E144</f>
        <v>29.200000000000003</v>
      </c>
      <c r="G144" s="7"/>
    </row>
    <row r="145" spans="1:7" ht="13.15" customHeight="1" thickBot="1" x14ac:dyDescent="0.25">
      <c r="G145" s="7"/>
    </row>
    <row r="146" spans="1:7" ht="13.9" customHeight="1" thickBot="1" x14ac:dyDescent="0.25">
      <c r="A146" s="22" t="s">
        <v>182</v>
      </c>
      <c r="B146" s="26"/>
      <c r="C146" s="26"/>
      <c r="D146" s="27"/>
      <c r="E146" s="28"/>
      <c r="F146" s="19">
        <f>+F131+F144</f>
        <v>195.7</v>
      </c>
      <c r="G146" s="7"/>
    </row>
    <row r="147" spans="1:7" ht="13.15" customHeight="1" x14ac:dyDescent="0.2"/>
    <row r="148" spans="1:7" x14ac:dyDescent="0.2">
      <c r="A148" s="9" t="s">
        <v>50</v>
      </c>
    </row>
    <row r="149" spans="1:7" x14ac:dyDescent="0.2">
      <c r="B149" s="90"/>
    </row>
    <row r="150" spans="1:7" ht="13.15" customHeight="1" x14ac:dyDescent="0.2">
      <c r="A150" s="5" t="s">
        <v>305</v>
      </c>
    </row>
    <row r="151" spans="1:7" ht="13.15" customHeight="1" x14ac:dyDescent="0.2"/>
    <row r="152" spans="1:7" ht="13.5" thickBot="1" x14ac:dyDescent="0.25">
      <c r="A152" s="90" t="s">
        <v>42</v>
      </c>
    </row>
    <row r="153" spans="1:7" ht="13.5" thickBot="1" x14ac:dyDescent="0.25">
      <c r="A153" s="48" t="s">
        <v>59</v>
      </c>
      <c r="B153" s="49" t="s">
        <v>60</v>
      </c>
      <c r="C153" s="49" t="s">
        <v>36</v>
      </c>
      <c r="D153" s="50" t="s">
        <v>212</v>
      </c>
      <c r="E153" s="50" t="s">
        <v>61</v>
      </c>
      <c r="F153" s="51" t="s">
        <v>62</v>
      </c>
    </row>
    <row r="154" spans="1:7" ht="11.25" customHeight="1" x14ac:dyDescent="0.2">
      <c r="A154" s="255" t="s">
        <v>309</v>
      </c>
      <c r="B154" s="12" t="s">
        <v>10</v>
      </c>
      <c r="C154" s="12">
        <v>1</v>
      </c>
      <c r="D154" s="71">
        <v>545000</v>
      </c>
      <c r="E154" s="13">
        <f>C154*D154</f>
        <v>545000</v>
      </c>
    </row>
    <row r="155" spans="1:7" ht="13.9" customHeight="1" x14ac:dyDescent="0.2">
      <c r="A155" s="262" t="s">
        <v>310</v>
      </c>
      <c r="B155" s="15" t="s">
        <v>95</v>
      </c>
      <c r="C155" s="70">
        <v>8</v>
      </c>
      <c r="D155" s="67"/>
      <c r="E155" s="16"/>
    </row>
    <row r="156" spans="1:7" ht="11.25" customHeight="1" x14ac:dyDescent="0.2">
      <c r="A156" s="14" t="s">
        <v>189</v>
      </c>
      <c r="B156" s="15" t="s">
        <v>95</v>
      </c>
      <c r="C156" s="70">
        <v>8</v>
      </c>
      <c r="D156" s="16"/>
      <c r="E156" s="16"/>
      <c r="F156" s="18"/>
    </row>
    <row r="157" spans="1:7" x14ac:dyDescent="0.2">
      <c r="A157" s="14" t="s">
        <v>96</v>
      </c>
      <c r="B157" s="15" t="s">
        <v>2</v>
      </c>
      <c r="C157" s="120">
        <f>IFERROR(VLOOKUP(C155,'5. Depreciação'!A3:B17,2,FALSE),0)</f>
        <v>62.12</v>
      </c>
      <c r="D157" s="16">
        <f>E154</f>
        <v>545000</v>
      </c>
      <c r="E157" s="16">
        <f>C157*D157/100</f>
        <v>338554</v>
      </c>
    </row>
    <row r="158" spans="1:7" ht="13.5" thickBot="1" x14ac:dyDescent="0.25">
      <c r="A158" s="232" t="s">
        <v>46</v>
      </c>
      <c r="B158" s="233" t="s">
        <v>8</v>
      </c>
      <c r="C158" s="233">
        <f>C155*12</f>
        <v>96</v>
      </c>
      <c r="D158" s="234">
        <f>IF(C156&lt;=C155,E157,0)</f>
        <v>338554</v>
      </c>
      <c r="E158" s="234">
        <f>IFERROR(D158/C158,0)</f>
        <v>3526.6041666666665</v>
      </c>
    </row>
    <row r="159" spans="1:7" ht="13.5" thickTop="1" x14ac:dyDescent="0.2">
      <c r="A159" s="100" t="s">
        <v>231</v>
      </c>
      <c r="B159" s="101"/>
      <c r="C159" s="101"/>
      <c r="D159" s="102"/>
      <c r="E159" s="103">
        <f>E158</f>
        <v>3526.6041666666665</v>
      </c>
      <c r="G159" s="7"/>
    </row>
    <row r="160" spans="1:7" ht="13.5" thickBot="1" x14ac:dyDescent="0.25">
      <c r="A160" s="86" t="s">
        <v>232</v>
      </c>
      <c r="B160" s="87" t="s">
        <v>10</v>
      </c>
      <c r="C160" s="70">
        <v>1</v>
      </c>
      <c r="D160" s="88">
        <f>E159</f>
        <v>3526.6041666666665</v>
      </c>
      <c r="E160" s="103">
        <f>C160*D160</f>
        <v>3526.6041666666665</v>
      </c>
      <c r="G160" s="7"/>
    </row>
    <row r="161" spans="1:10" ht="13.5" thickBot="1" x14ac:dyDescent="0.25">
      <c r="A161" s="230"/>
      <c r="B161" s="230"/>
      <c r="C161" s="230"/>
      <c r="D161" s="105" t="s">
        <v>179</v>
      </c>
      <c r="E161" s="42">
        <v>1</v>
      </c>
      <c r="F161" s="19">
        <f>(E160)*E161</f>
        <v>3526.6041666666665</v>
      </c>
      <c r="G161" s="7"/>
    </row>
    <row r="162" spans="1:10" ht="11.25" customHeight="1" x14ac:dyDescent="0.2">
      <c r="G162" s="7"/>
    </row>
    <row r="163" spans="1:10" ht="13.5" thickBot="1" x14ac:dyDescent="0.25">
      <c r="A163" s="90" t="s">
        <v>100</v>
      </c>
      <c r="G163" s="7"/>
    </row>
    <row r="164" spans="1:10" ht="11.25" customHeight="1" thickBot="1" x14ac:dyDescent="0.25">
      <c r="A164" s="92" t="s">
        <v>59</v>
      </c>
      <c r="B164" s="93" t="s">
        <v>60</v>
      </c>
      <c r="C164" s="93" t="s">
        <v>36</v>
      </c>
      <c r="D164" s="50" t="s">
        <v>212</v>
      </c>
      <c r="E164" s="94" t="s">
        <v>61</v>
      </c>
      <c r="F164" s="51" t="s">
        <v>62</v>
      </c>
      <c r="G164" s="7"/>
    </row>
    <row r="165" spans="1:10" x14ac:dyDescent="0.2">
      <c r="A165" s="255" t="s">
        <v>309</v>
      </c>
      <c r="B165" s="15" t="s">
        <v>10</v>
      </c>
      <c r="C165" s="12">
        <v>1</v>
      </c>
      <c r="D165" s="16">
        <f>D154</f>
        <v>545000</v>
      </c>
      <c r="E165" s="16">
        <f>C165*D165</f>
        <v>545000</v>
      </c>
      <c r="F165" s="18"/>
      <c r="G165" s="69"/>
    </row>
    <row r="166" spans="1:10" ht="11.25" customHeight="1" x14ac:dyDescent="0.2">
      <c r="A166" s="14" t="s">
        <v>191</v>
      </c>
      <c r="B166" s="15" t="s">
        <v>2</v>
      </c>
      <c r="C166" s="70">
        <v>12</v>
      </c>
      <c r="D166" s="16"/>
      <c r="E166" s="16"/>
      <c r="F166" s="18"/>
      <c r="G166" s="69"/>
    </row>
    <row r="167" spans="1:10" x14ac:dyDescent="0.2">
      <c r="A167" s="14" t="s">
        <v>190</v>
      </c>
      <c r="B167" s="15" t="s">
        <v>29</v>
      </c>
      <c r="C167" s="125">
        <f>IFERROR(IF(C156&lt;=C155,E154-(C157/(100*C155)*C156)*E154,E154-E157),0)</f>
        <v>206446</v>
      </c>
      <c r="D167" s="16"/>
      <c r="E167" s="16"/>
      <c r="F167" s="18"/>
      <c r="G167" s="7"/>
    </row>
    <row r="168" spans="1:10" ht="11.25" customHeight="1" x14ac:dyDescent="0.2">
      <c r="A168" s="262" t="s">
        <v>330</v>
      </c>
      <c r="B168" s="15" t="s">
        <v>29</v>
      </c>
      <c r="C168" s="67">
        <f>IFERROR(IF(C156&gt;=C155,C167,((((C167)-(E154-E157))*(((C155-C156)+1)/(2*(C155-C156))))+(E154-E157))),0)</f>
        <v>206446</v>
      </c>
      <c r="D168" s="16"/>
      <c r="E168" s="16"/>
      <c r="F168" s="18"/>
      <c r="G168" s="7"/>
    </row>
    <row r="169" spans="1:10" ht="13.5" thickBot="1" x14ac:dyDescent="0.25">
      <c r="A169" s="232" t="s">
        <v>331</v>
      </c>
      <c r="B169" s="233" t="s">
        <v>29</v>
      </c>
      <c r="C169" s="233"/>
      <c r="D169" s="235">
        <f>C166*C168/12/100</f>
        <v>2064.46</v>
      </c>
      <c r="E169" s="234">
        <f>D169</f>
        <v>2064.46</v>
      </c>
      <c r="F169" s="18"/>
      <c r="G169" s="7"/>
    </row>
    <row r="170" spans="1:10" ht="13.5" thickTop="1" x14ac:dyDescent="0.2">
      <c r="A170" s="100" t="s">
        <v>231</v>
      </c>
      <c r="B170" s="101"/>
      <c r="C170" s="101"/>
      <c r="D170" s="102"/>
      <c r="E170" s="103">
        <f>E169</f>
        <v>2064.46</v>
      </c>
      <c r="F170" s="18"/>
    </row>
    <row r="171" spans="1:10" ht="13.5" thickBot="1" x14ac:dyDescent="0.25">
      <c r="A171" s="86" t="s">
        <v>232</v>
      </c>
      <c r="B171" s="87" t="s">
        <v>10</v>
      </c>
      <c r="C171" s="15">
        <f>C160</f>
        <v>1</v>
      </c>
      <c r="D171" s="88">
        <f>E170</f>
        <v>2064.46</v>
      </c>
      <c r="E171" s="103">
        <f>C171*D171</f>
        <v>2064.46</v>
      </c>
      <c r="F171" s="18"/>
      <c r="G171" s="7"/>
    </row>
    <row r="172" spans="1:10" ht="13.5" thickBot="1" x14ac:dyDescent="0.25">
      <c r="C172" s="17"/>
      <c r="D172" s="105" t="s">
        <v>179</v>
      </c>
      <c r="E172" s="42">
        <v>1</v>
      </c>
      <c r="F172" s="19">
        <f>(E171)*E172</f>
        <v>2064.46</v>
      </c>
    </row>
    <row r="173" spans="1:10" x14ac:dyDescent="0.2">
      <c r="I173" s="69"/>
      <c r="J173" s="69"/>
    </row>
    <row r="174" spans="1:10" ht="13.5" thickBot="1" x14ac:dyDescent="0.25">
      <c r="A174" s="7" t="s">
        <v>47</v>
      </c>
    </row>
    <row r="175" spans="1:10" ht="13.5" thickBot="1" x14ac:dyDescent="0.25">
      <c r="A175" s="48" t="s">
        <v>59</v>
      </c>
      <c r="B175" s="49" t="s">
        <v>60</v>
      </c>
      <c r="C175" s="49" t="s">
        <v>36</v>
      </c>
      <c r="D175" s="50" t="s">
        <v>212</v>
      </c>
      <c r="E175" s="50" t="s">
        <v>61</v>
      </c>
      <c r="F175" s="51" t="s">
        <v>62</v>
      </c>
    </row>
    <row r="176" spans="1:10" x14ac:dyDescent="0.2">
      <c r="A176" s="11" t="s">
        <v>11</v>
      </c>
      <c r="B176" s="12" t="s">
        <v>10</v>
      </c>
      <c r="C176" s="13">
        <f>C160</f>
        <v>1</v>
      </c>
      <c r="D176" s="13">
        <f>0.01*($E$154)</f>
        <v>5450</v>
      </c>
      <c r="E176" s="13">
        <f>C176*D176</f>
        <v>5450</v>
      </c>
    </row>
    <row r="177" spans="1:10" x14ac:dyDescent="0.2">
      <c r="A177" s="262" t="s">
        <v>178</v>
      </c>
      <c r="B177" s="15" t="s">
        <v>10</v>
      </c>
      <c r="C177" s="13">
        <f>C160</f>
        <v>1</v>
      </c>
      <c r="D177" s="73">
        <v>5000</v>
      </c>
      <c r="E177" s="16">
        <f>C177*D177</f>
        <v>5000</v>
      </c>
    </row>
    <row r="178" spans="1:10" x14ac:dyDescent="0.2">
      <c r="A178" s="14" t="s">
        <v>12</v>
      </c>
      <c r="B178" s="15" t="s">
        <v>10</v>
      </c>
      <c r="C178" s="13">
        <f>C160</f>
        <v>1</v>
      </c>
      <c r="D178" s="73">
        <v>5000</v>
      </c>
      <c r="E178" s="16">
        <f>C178*D178</f>
        <v>5000</v>
      </c>
      <c r="F178" s="29"/>
    </row>
    <row r="179" spans="1:10" ht="13.5" thickBot="1" x14ac:dyDescent="0.25">
      <c r="A179" s="86" t="s">
        <v>13</v>
      </c>
      <c r="B179" s="87" t="s">
        <v>8</v>
      </c>
      <c r="C179" s="87">
        <v>12</v>
      </c>
      <c r="D179" s="88">
        <f>SUM(E176:E178)</f>
        <v>15450</v>
      </c>
      <c r="E179" s="88">
        <f>D179/C179</f>
        <v>1287.5</v>
      </c>
    </row>
    <row r="180" spans="1:10" ht="11.25" customHeight="1" thickBot="1" x14ac:dyDescent="0.25">
      <c r="D180" s="105" t="s">
        <v>179</v>
      </c>
      <c r="E180" s="42">
        <v>1</v>
      </c>
      <c r="F180" s="106">
        <f>E179*E180</f>
        <v>1287.5</v>
      </c>
    </row>
    <row r="182" spans="1:10" x14ac:dyDescent="0.2">
      <c r="A182" s="7" t="s">
        <v>48</v>
      </c>
      <c r="B182" s="30"/>
      <c r="I182" s="69"/>
      <c r="J182" s="69"/>
    </row>
    <row r="183" spans="1:10" x14ac:dyDescent="0.2">
      <c r="B183" s="30"/>
      <c r="I183" s="69"/>
      <c r="J183" s="69"/>
    </row>
    <row r="184" spans="1:10" x14ac:dyDescent="0.2">
      <c r="A184" s="86" t="s">
        <v>105</v>
      </c>
      <c r="B184" s="97">
        <v>554.14</v>
      </c>
      <c r="I184" s="69"/>
      <c r="J184" s="69"/>
    </row>
    <row r="185" spans="1:10" ht="13.5" thickBot="1" x14ac:dyDescent="0.25">
      <c r="B185" s="30"/>
      <c r="I185" s="69"/>
      <c r="J185" s="69"/>
    </row>
    <row r="186" spans="1:10" ht="13.5" thickBot="1" x14ac:dyDescent="0.25">
      <c r="A186" s="48" t="s">
        <v>59</v>
      </c>
      <c r="B186" s="49" t="s">
        <v>60</v>
      </c>
      <c r="C186" s="49" t="s">
        <v>230</v>
      </c>
      <c r="D186" s="50" t="s">
        <v>212</v>
      </c>
      <c r="E186" s="50" t="s">
        <v>61</v>
      </c>
      <c r="F186" s="51" t="s">
        <v>62</v>
      </c>
      <c r="I186" s="69"/>
      <c r="J186" s="69"/>
    </row>
    <row r="187" spans="1:10" x14ac:dyDescent="0.2">
      <c r="A187" s="11" t="s">
        <v>14</v>
      </c>
      <c r="B187" s="12" t="s">
        <v>15</v>
      </c>
      <c r="C187" s="80">
        <v>3.5</v>
      </c>
      <c r="D187" s="81">
        <v>6.5</v>
      </c>
      <c r="E187" s="13"/>
      <c r="I187" s="69"/>
      <c r="J187" s="69"/>
    </row>
    <row r="188" spans="1:10" x14ac:dyDescent="0.2">
      <c r="A188" s="14" t="s">
        <v>16</v>
      </c>
      <c r="B188" s="15" t="s">
        <v>17</v>
      </c>
      <c r="C188" s="78">
        <f>B184</f>
        <v>554.14</v>
      </c>
      <c r="D188" s="229">
        <f>IFERROR(+D187/C187,"-")</f>
        <v>1.8571428571428572</v>
      </c>
      <c r="E188" s="16">
        <f>IFERROR(C188*D188,"-")</f>
        <v>1029.1171428571429</v>
      </c>
      <c r="I188" s="69"/>
      <c r="J188" s="69"/>
    </row>
    <row r="189" spans="1:10" x14ac:dyDescent="0.2">
      <c r="A189" s="14" t="s">
        <v>213</v>
      </c>
      <c r="B189" s="15" t="s">
        <v>18</v>
      </c>
      <c r="C189" s="83">
        <v>6</v>
      </c>
      <c r="D189" s="73">
        <v>20</v>
      </c>
      <c r="E189" s="16"/>
      <c r="I189" s="69"/>
      <c r="J189" s="69"/>
    </row>
    <row r="190" spans="1:10" x14ac:dyDescent="0.2">
      <c r="A190" s="14" t="s">
        <v>19</v>
      </c>
      <c r="B190" s="15" t="s">
        <v>17</v>
      </c>
      <c r="C190" s="78">
        <f>C188</f>
        <v>554.14</v>
      </c>
      <c r="D190" s="226">
        <f>+C189*D189/1000</f>
        <v>0.12</v>
      </c>
      <c r="E190" s="16">
        <f>C190*D190</f>
        <v>66.496799999999993</v>
      </c>
      <c r="I190" s="69"/>
      <c r="J190" s="69"/>
    </row>
    <row r="191" spans="1:10" x14ac:dyDescent="0.2">
      <c r="A191" s="14" t="s">
        <v>214</v>
      </c>
      <c r="B191" s="15" t="s">
        <v>18</v>
      </c>
      <c r="C191" s="83">
        <v>1</v>
      </c>
      <c r="D191" s="73">
        <v>18</v>
      </c>
      <c r="E191" s="16"/>
      <c r="I191" s="69"/>
      <c r="J191" s="69"/>
    </row>
    <row r="192" spans="1:10" x14ac:dyDescent="0.2">
      <c r="A192" s="14" t="s">
        <v>20</v>
      </c>
      <c r="B192" s="15" t="s">
        <v>17</v>
      </c>
      <c r="C192" s="78">
        <f>C188</f>
        <v>554.14</v>
      </c>
      <c r="D192" s="226">
        <f>+C191*D191/1000</f>
        <v>1.7999999999999999E-2</v>
      </c>
      <c r="E192" s="16">
        <f>C192*D192</f>
        <v>9.9745199999999983</v>
      </c>
      <c r="I192" s="69"/>
      <c r="J192" s="69"/>
    </row>
    <row r="193" spans="1:10" x14ac:dyDescent="0.2">
      <c r="A193" s="14" t="s">
        <v>215</v>
      </c>
      <c r="B193" s="15" t="s">
        <v>18</v>
      </c>
      <c r="C193" s="83">
        <v>5</v>
      </c>
      <c r="D193" s="73">
        <v>15</v>
      </c>
      <c r="E193" s="16"/>
      <c r="I193" s="69"/>
      <c r="J193" s="69"/>
    </row>
    <row r="194" spans="1:10" x14ac:dyDescent="0.2">
      <c r="A194" s="14" t="s">
        <v>21</v>
      </c>
      <c r="B194" s="15" t="s">
        <v>17</v>
      </c>
      <c r="C194" s="78">
        <f>C188</f>
        <v>554.14</v>
      </c>
      <c r="D194" s="226">
        <f>+C193*D193/1000</f>
        <v>7.4999999999999997E-2</v>
      </c>
      <c r="E194" s="16">
        <f>C194*D194</f>
        <v>41.560499999999998</v>
      </c>
      <c r="I194" s="69"/>
      <c r="J194" s="69"/>
    </row>
    <row r="195" spans="1:10" x14ac:dyDescent="0.2">
      <c r="A195" s="262" t="s">
        <v>280</v>
      </c>
      <c r="B195" s="15" t="s">
        <v>22</v>
      </c>
      <c r="C195" s="83">
        <v>2</v>
      </c>
      <c r="D195" s="73">
        <v>14</v>
      </c>
      <c r="E195" s="16"/>
      <c r="I195" s="69"/>
      <c r="J195" s="69"/>
    </row>
    <row r="196" spans="1:10" x14ac:dyDescent="0.2">
      <c r="A196" s="14" t="s">
        <v>23</v>
      </c>
      <c r="B196" s="15" t="s">
        <v>17</v>
      </c>
      <c r="C196" s="78">
        <f>C188</f>
        <v>554.14</v>
      </c>
      <c r="D196" s="226">
        <f>+C195*D195/1000</f>
        <v>2.8000000000000001E-2</v>
      </c>
      <c r="E196" s="16">
        <f>C196*D196</f>
        <v>15.515919999999999</v>
      </c>
      <c r="G196" s="263"/>
      <c r="I196" s="69"/>
      <c r="J196" s="69"/>
    </row>
    <row r="197" spans="1:10" ht="11.25" customHeight="1" thickBot="1" x14ac:dyDescent="0.25">
      <c r="A197" s="86" t="s">
        <v>229</v>
      </c>
      <c r="B197" s="87" t="s">
        <v>106</v>
      </c>
      <c r="C197" s="227"/>
      <c r="D197" s="228">
        <f>IFERROR(D188+D190+D192+D194+D196,0)</f>
        <v>2.0981428571428573</v>
      </c>
      <c r="E197" s="16"/>
      <c r="I197" s="69"/>
      <c r="J197" s="69"/>
    </row>
    <row r="198" spans="1:10" ht="13.5" thickBot="1" x14ac:dyDescent="0.25">
      <c r="F198" s="19">
        <f>SUM(E187:E196)</f>
        <v>1162.6648828571429</v>
      </c>
      <c r="I198" s="69"/>
      <c r="J198" s="69"/>
    </row>
    <row r="199" spans="1:10" x14ac:dyDescent="0.2">
      <c r="I199" s="69"/>
      <c r="J199" s="69"/>
    </row>
    <row r="200" spans="1:10" ht="13.5" thickBot="1" x14ac:dyDescent="0.25">
      <c r="A200" s="7" t="s">
        <v>49</v>
      </c>
      <c r="I200" s="69"/>
      <c r="J200" s="69"/>
    </row>
    <row r="201" spans="1:10" ht="13.5" thickBot="1" x14ac:dyDescent="0.25">
      <c r="A201" s="48" t="s">
        <v>59</v>
      </c>
      <c r="B201" s="49" t="s">
        <v>60</v>
      </c>
      <c r="C201" s="49" t="s">
        <v>36</v>
      </c>
      <c r="D201" s="50" t="s">
        <v>212</v>
      </c>
      <c r="E201" s="50" t="s">
        <v>61</v>
      </c>
      <c r="F201" s="51" t="s">
        <v>62</v>
      </c>
      <c r="I201" s="69"/>
      <c r="J201" s="69"/>
    </row>
    <row r="202" spans="1:10" ht="13.5" thickBot="1" x14ac:dyDescent="0.25">
      <c r="A202" s="11" t="s">
        <v>104</v>
      </c>
      <c r="B202" s="12" t="s">
        <v>106</v>
      </c>
      <c r="C202" s="78">
        <f>C188</f>
        <v>554.14</v>
      </c>
      <c r="D202" s="71">
        <v>5</v>
      </c>
      <c r="E202" s="13">
        <f>C202*D202</f>
        <v>2770.7</v>
      </c>
      <c r="I202" s="69"/>
      <c r="J202" s="69"/>
    </row>
    <row r="203" spans="1:10" ht="13.5" thickBot="1" x14ac:dyDescent="0.25">
      <c r="F203" s="19">
        <f>E202</f>
        <v>2770.7</v>
      </c>
      <c r="I203" s="69"/>
      <c r="J203" s="69"/>
    </row>
    <row r="204" spans="1:10" x14ac:dyDescent="0.2">
      <c r="I204" s="69"/>
      <c r="J204" s="69"/>
    </row>
    <row r="205" spans="1:10" ht="11.25" customHeight="1" thickBot="1" x14ac:dyDescent="0.25">
      <c r="A205" s="7" t="s">
        <v>58</v>
      </c>
      <c r="I205" s="69"/>
      <c r="J205" s="69"/>
    </row>
    <row r="206" spans="1:10" ht="13.5" thickBot="1" x14ac:dyDescent="0.25">
      <c r="A206" s="48" t="s">
        <v>59</v>
      </c>
      <c r="B206" s="49" t="s">
        <v>60</v>
      </c>
      <c r="C206" s="49" t="s">
        <v>36</v>
      </c>
      <c r="D206" s="50" t="s">
        <v>212</v>
      </c>
      <c r="E206" s="50" t="s">
        <v>61</v>
      </c>
      <c r="F206" s="51" t="s">
        <v>62</v>
      </c>
      <c r="I206" s="69"/>
      <c r="J206" s="69"/>
    </row>
    <row r="207" spans="1:10" x14ac:dyDescent="0.2">
      <c r="A207" s="255" t="s">
        <v>281</v>
      </c>
      <c r="B207" s="12" t="s">
        <v>10</v>
      </c>
      <c r="C207" s="79">
        <v>10</v>
      </c>
      <c r="D207" s="71">
        <v>3400</v>
      </c>
      <c r="E207" s="13">
        <f>C207*D207</f>
        <v>34000</v>
      </c>
      <c r="I207" s="69"/>
      <c r="J207" s="69"/>
    </row>
    <row r="208" spans="1:10" x14ac:dyDescent="0.2">
      <c r="A208" s="11" t="s">
        <v>107</v>
      </c>
      <c r="B208" s="12" t="s">
        <v>10</v>
      </c>
      <c r="C208" s="79">
        <v>2</v>
      </c>
      <c r="D208" s="89"/>
      <c r="E208" s="13"/>
      <c r="I208" s="69"/>
      <c r="J208" s="69"/>
    </row>
    <row r="209" spans="1:10" x14ac:dyDescent="0.2">
      <c r="A209" s="11" t="s">
        <v>66</v>
      </c>
      <c r="B209" s="12" t="s">
        <v>10</v>
      </c>
      <c r="C209" s="13">
        <f>C207*C208</f>
        <v>20</v>
      </c>
      <c r="D209" s="71">
        <v>700</v>
      </c>
      <c r="E209" s="13">
        <f>C209*D209</f>
        <v>14000</v>
      </c>
      <c r="I209" s="69"/>
      <c r="J209" s="69"/>
    </row>
    <row r="210" spans="1:10" x14ac:dyDescent="0.2">
      <c r="A210" s="262" t="s">
        <v>277</v>
      </c>
      <c r="B210" s="15" t="s">
        <v>24</v>
      </c>
      <c r="C210" s="315">
        <v>40000</v>
      </c>
      <c r="D210" s="16">
        <f>E207+E209</f>
        <v>48000</v>
      </c>
      <c r="E210" s="16">
        <f>IFERROR(D210/C210,"-")</f>
        <v>1.2</v>
      </c>
      <c r="I210" s="69"/>
      <c r="J210" s="69"/>
    </row>
    <row r="211" spans="1:10" ht="13.5" thickBot="1" x14ac:dyDescent="0.25">
      <c r="A211" s="14" t="s">
        <v>51</v>
      </c>
      <c r="B211" s="15" t="s">
        <v>17</v>
      </c>
      <c r="C211" s="78">
        <f>B184</f>
        <v>554.14</v>
      </c>
      <c r="D211" s="16">
        <f>E210</f>
        <v>1.2</v>
      </c>
      <c r="E211" s="16">
        <f>IFERROR(C211*D211,0)</f>
        <v>664.96799999999996</v>
      </c>
      <c r="I211" s="69"/>
      <c r="J211" s="69"/>
    </row>
    <row r="212" spans="1:10" ht="13.5" thickBot="1" x14ac:dyDescent="0.25">
      <c r="F212" s="19">
        <f>E211</f>
        <v>664.96799999999996</v>
      </c>
      <c r="I212" s="69"/>
      <c r="J212" s="69"/>
    </row>
    <row r="213" spans="1:10" x14ac:dyDescent="0.2">
      <c r="G213" s="95"/>
      <c r="I213" s="69"/>
      <c r="J213" s="69"/>
    </row>
    <row r="214" spans="1:10" ht="13.5" thickBot="1" x14ac:dyDescent="0.25">
      <c r="G214" s="95"/>
      <c r="I214" s="69"/>
      <c r="J214" s="69"/>
    </row>
    <row r="215" spans="1:10" ht="13.5" thickBot="1" x14ac:dyDescent="0.25">
      <c r="A215" s="22" t="s">
        <v>200</v>
      </c>
      <c r="B215" s="23"/>
      <c r="C215" s="23"/>
      <c r="D215" s="24"/>
      <c r="E215" s="25"/>
      <c r="F215" s="19">
        <f>+SUM(F154:F214)</f>
        <v>11476.89704952381</v>
      </c>
      <c r="G215" s="95"/>
      <c r="I215" s="69"/>
      <c r="J215" s="69"/>
    </row>
    <row r="216" spans="1:10" x14ac:dyDescent="0.2">
      <c r="G216" s="95"/>
      <c r="I216" s="69"/>
      <c r="J216" s="69"/>
    </row>
    <row r="217" spans="1:10" x14ac:dyDescent="0.2">
      <c r="A217" s="9" t="s">
        <v>69</v>
      </c>
      <c r="B217" s="9"/>
      <c r="C217" s="9"/>
      <c r="D217" s="32"/>
      <c r="E217" s="32"/>
      <c r="F217" s="31"/>
      <c r="G217" s="95"/>
      <c r="I217" s="69"/>
      <c r="J217" s="69"/>
    </row>
    <row r="218" spans="1:10" ht="13.5" thickBot="1" x14ac:dyDescent="0.25">
      <c r="G218" s="95"/>
      <c r="I218" s="69"/>
      <c r="J218" s="69"/>
    </row>
    <row r="219" spans="1:10" ht="13.5" thickBot="1" x14ac:dyDescent="0.25">
      <c r="A219" s="48" t="s">
        <v>59</v>
      </c>
      <c r="B219" s="49" t="s">
        <v>60</v>
      </c>
      <c r="C219" s="49" t="s">
        <v>36</v>
      </c>
      <c r="D219" s="50" t="s">
        <v>212</v>
      </c>
      <c r="E219" s="50" t="s">
        <v>61</v>
      </c>
      <c r="F219" s="51" t="s">
        <v>62</v>
      </c>
      <c r="G219" s="95"/>
      <c r="I219" s="69"/>
      <c r="J219" s="69"/>
    </row>
    <row r="220" spans="1:10" ht="11.25" customHeight="1" x14ac:dyDescent="0.2">
      <c r="A220" s="14" t="s">
        <v>53</v>
      </c>
      <c r="B220" s="15" t="s">
        <v>54</v>
      </c>
      <c r="C220" s="84">
        <v>0.33333333333333331</v>
      </c>
      <c r="D220" s="71">
        <v>200</v>
      </c>
      <c r="E220" s="16">
        <f>C220*D220</f>
        <v>66.666666666666657</v>
      </c>
      <c r="F220" s="45"/>
      <c r="I220" s="69"/>
      <c r="J220" s="69"/>
    </row>
    <row r="221" spans="1:10" ht="13.5" thickBot="1" x14ac:dyDescent="0.25">
      <c r="A221" s="14" t="s">
        <v>56</v>
      </c>
      <c r="B221" s="15" t="s">
        <v>54</v>
      </c>
      <c r="C221" s="84">
        <v>0.33333333333333331</v>
      </c>
      <c r="D221" s="71">
        <v>100</v>
      </c>
      <c r="E221" s="16">
        <f>C221*D221</f>
        <v>33.333333333333329</v>
      </c>
      <c r="F221" s="45"/>
      <c r="I221" s="69"/>
      <c r="J221" s="69"/>
    </row>
    <row r="222" spans="1:10" ht="13.5" thickBot="1" x14ac:dyDescent="0.25">
      <c r="A222" s="9"/>
      <c r="B222" s="9"/>
      <c r="C222" s="9"/>
      <c r="D222" s="9"/>
      <c r="E222" s="32"/>
      <c r="F222" s="19">
        <f>SUM(E220:E221)</f>
        <v>99.999999999999986</v>
      </c>
      <c r="I222" s="69"/>
      <c r="J222" s="69"/>
    </row>
    <row r="223" spans="1:10" ht="13.5" thickBot="1" x14ac:dyDescent="0.25">
      <c r="I223" s="69"/>
      <c r="J223" s="69"/>
    </row>
    <row r="224" spans="1:10" ht="13.5" thickBot="1" x14ac:dyDescent="0.25">
      <c r="A224" s="22" t="s">
        <v>201</v>
      </c>
      <c r="B224" s="23"/>
      <c r="C224" s="23"/>
      <c r="D224" s="24"/>
      <c r="E224" s="25"/>
      <c r="F224" s="19">
        <f>+F222</f>
        <v>99.999999999999986</v>
      </c>
      <c r="I224" s="69"/>
      <c r="J224" s="69"/>
    </row>
    <row r="225" spans="1:10" ht="11.25" customHeight="1" x14ac:dyDescent="0.2">
      <c r="I225" s="69"/>
      <c r="J225" s="69"/>
    </row>
    <row r="226" spans="1:10" x14ac:dyDescent="0.2">
      <c r="A226" s="9" t="s">
        <v>70</v>
      </c>
      <c r="B226" s="9"/>
      <c r="C226" s="9"/>
      <c r="D226" s="32"/>
      <c r="E226" s="32"/>
      <c r="F226" s="31"/>
      <c r="I226" s="69"/>
      <c r="J226" s="69"/>
    </row>
    <row r="227" spans="1:10" ht="13.5" thickBot="1" x14ac:dyDescent="0.25">
      <c r="I227" s="69"/>
      <c r="J227" s="69"/>
    </row>
    <row r="228" spans="1:10" ht="13.5" thickBot="1" x14ac:dyDescent="0.25">
      <c r="A228" s="48" t="s">
        <v>59</v>
      </c>
      <c r="B228" s="49" t="s">
        <v>60</v>
      </c>
      <c r="C228" s="49" t="s">
        <v>36</v>
      </c>
      <c r="D228" s="50" t="s">
        <v>212</v>
      </c>
      <c r="E228" s="50" t="s">
        <v>61</v>
      </c>
      <c r="F228" s="51" t="s">
        <v>62</v>
      </c>
      <c r="I228" s="69"/>
      <c r="J228" s="69"/>
    </row>
    <row r="229" spans="1:10" x14ac:dyDescent="0.2">
      <c r="A229" s="14" t="s">
        <v>198</v>
      </c>
      <c r="B229" s="44" t="s">
        <v>54</v>
      </c>
      <c r="C229" s="56">
        <f>C154</f>
        <v>1</v>
      </c>
      <c r="D229" s="73">
        <v>400</v>
      </c>
      <c r="E229" s="16">
        <f>+D229*C229</f>
        <v>400</v>
      </c>
      <c r="F229" s="45"/>
      <c r="I229" s="69"/>
      <c r="J229" s="69"/>
    </row>
    <row r="230" spans="1:10" x14ac:dyDescent="0.2">
      <c r="A230" s="14" t="s">
        <v>57</v>
      </c>
      <c r="B230" s="44" t="s">
        <v>8</v>
      </c>
      <c r="C230" s="15">
        <v>60</v>
      </c>
      <c r="D230" s="271">
        <f>SUM(E229:E229)</f>
        <v>400</v>
      </c>
      <c r="E230" s="66">
        <f>+D230/C230</f>
        <v>6.666666666666667</v>
      </c>
      <c r="F230" s="45"/>
      <c r="I230" s="69"/>
      <c r="J230" s="69"/>
    </row>
    <row r="231" spans="1:10" x14ac:dyDescent="0.2">
      <c r="A231" s="14" t="s">
        <v>199</v>
      </c>
      <c r="B231" s="15" t="s">
        <v>10</v>
      </c>
      <c r="C231" s="56">
        <f>+C229</f>
        <v>1</v>
      </c>
      <c r="D231" s="73">
        <v>140</v>
      </c>
      <c r="E231" s="16">
        <f>C231*D231</f>
        <v>140</v>
      </c>
      <c r="F231" s="45"/>
      <c r="I231" s="69"/>
      <c r="J231" s="69"/>
    </row>
    <row r="232" spans="1:10" ht="13.5" thickBot="1" x14ac:dyDescent="0.25">
      <c r="A232" s="14" t="s">
        <v>33</v>
      </c>
      <c r="B232" s="44" t="s">
        <v>8</v>
      </c>
      <c r="C232" s="15">
        <v>1</v>
      </c>
      <c r="D232" s="271">
        <f>+E231</f>
        <v>140</v>
      </c>
      <c r="E232" s="271">
        <f>+D232/C232</f>
        <v>140</v>
      </c>
      <c r="F232" s="45"/>
      <c r="I232" s="69"/>
      <c r="J232" s="69"/>
    </row>
    <row r="233" spans="1:10" ht="13.5" thickBot="1" x14ac:dyDescent="0.25">
      <c r="A233" s="10"/>
      <c r="B233" s="10"/>
      <c r="C233" s="10"/>
      <c r="D233" s="105" t="s">
        <v>179</v>
      </c>
      <c r="E233" s="42">
        <v>1</v>
      </c>
      <c r="F233" s="19">
        <f>(E230+E232)*E233</f>
        <v>146.66666666666666</v>
      </c>
      <c r="I233" s="69"/>
      <c r="J233" s="69"/>
    </row>
    <row r="234" spans="1:10" ht="11.25" customHeight="1" thickBot="1" x14ac:dyDescent="0.25">
      <c r="I234" s="69"/>
      <c r="J234" s="69"/>
    </row>
    <row r="235" spans="1:10" ht="11.25" customHeight="1" thickBot="1" x14ac:dyDescent="0.25">
      <c r="A235" s="22" t="s">
        <v>197</v>
      </c>
      <c r="B235" s="23"/>
      <c r="C235" s="23"/>
      <c r="D235" s="24"/>
      <c r="E235" s="25"/>
      <c r="F235" s="19">
        <f>+F233</f>
        <v>146.66666666666666</v>
      </c>
      <c r="G235" s="7"/>
    </row>
    <row r="236" spans="1:10" x14ac:dyDescent="0.2">
      <c r="A236" s="9"/>
      <c r="B236" s="9"/>
      <c r="C236" s="9"/>
      <c r="D236" s="32"/>
      <c r="E236" s="32"/>
      <c r="F236"/>
      <c r="G236" s="7"/>
    </row>
    <row r="237" spans="1:10" ht="11.25" customHeight="1" thickBot="1" x14ac:dyDescent="0.25">
      <c r="G237" s="7"/>
    </row>
    <row r="238" spans="1:10" ht="13.5" thickBot="1" x14ac:dyDescent="0.25">
      <c r="A238" s="22" t="s">
        <v>202</v>
      </c>
      <c r="B238" s="26"/>
      <c r="C238" s="26"/>
      <c r="D238" s="27"/>
      <c r="E238" s="28"/>
      <c r="F238" s="20">
        <f>+F112+F146+F215+F224+F235</f>
        <v>23824.432775778962</v>
      </c>
      <c r="G238" s="7"/>
    </row>
    <row r="239" spans="1:10" x14ac:dyDescent="0.2">
      <c r="G239" s="7"/>
    </row>
    <row r="240" spans="1:10" x14ac:dyDescent="0.2">
      <c r="A240" s="9" t="s">
        <v>300</v>
      </c>
      <c r="G240" s="7"/>
    </row>
    <row r="241" spans="1:7" ht="13.5" thickBot="1" x14ac:dyDescent="0.25">
      <c r="G241" s="7"/>
    </row>
    <row r="242" spans="1:7" ht="13.5" thickBot="1" x14ac:dyDescent="0.25">
      <c r="A242" s="48" t="s">
        <v>59</v>
      </c>
      <c r="B242" s="49" t="s">
        <v>60</v>
      </c>
      <c r="C242" s="49" t="s">
        <v>36</v>
      </c>
      <c r="D242" s="50" t="s">
        <v>212</v>
      </c>
      <c r="E242" s="50" t="s">
        <v>61</v>
      </c>
      <c r="F242" s="51" t="s">
        <v>62</v>
      </c>
      <c r="G242" s="7"/>
    </row>
    <row r="243" spans="1:7" ht="13.5" thickBot="1" x14ac:dyDescent="0.25">
      <c r="A243" s="11" t="s">
        <v>32</v>
      </c>
      <c r="B243" s="12" t="s">
        <v>2</v>
      </c>
      <c r="C243" s="120">
        <f>'4.BDI'!C20*100</f>
        <v>25.5</v>
      </c>
      <c r="D243" s="13">
        <f>+F238</f>
        <v>23824.432775778962</v>
      </c>
      <c r="E243" s="13">
        <f>C243*D243/100</f>
        <v>6075.2303578236351</v>
      </c>
      <c r="G243" s="7"/>
    </row>
    <row r="244" spans="1:7" ht="13.5" thickBot="1" x14ac:dyDescent="0.25">
      <c r="F244" s="19">
        <f>+E243</f>
        <v>6075.2303578236351</v>
      </c>
      <c r="G244" s="7"/>
    </row>
    <row r="245" spans="1:7" ht="11.25" customHeight="1" thickBot="1" x14ac:dyDescent="0.25">
      <c r="G245" s="7"/>
    </row>
    <row r="246" spans="1:7" ht="13.5" thickBot="1" x14ac:dyDescent="0.25">
      <c r="A246" s="22" t="s">
        <v>217</v>
      </c>
      <c r="B246" s="26"/>
      <c r="C246" s="26"/>
      <c r="D246" s="27"/>
      <c r="E246" s="28"/>
      <c r="F246" s="20">
        <f>F244</f>
        <v>6075.2303578236351</v>
      </c>
      <c r="G246" s="7"/>
    </row>
    <row r="247" spans="1:7" ht="11.25" customHeight="1" x14ac:dyDescent="0.2">
      <c r="A247" s="9"/>
      <c r="B247" s="9"/>
      <c r="C247" s="9"/>
      <c r="D247" s="32"/>
      <c r="E247" s="32"/>
      <c r="F247" s="31"/>
      <c r="G247" s="7"/>
    </row>
    <row r="248" spans="1:7" ht="13.5" thickBot="1" x14ac:dyDescent="0.25"/>
    <row r="249" spans="1:7" ht="11.25" customHeight="1" thickBot="1" x14ac:dyDescent="0.25">
      <c r="A249" s="22" t="s">
        <v>203</v>
      </c>
      <c r="B249" s="26"/>
      <c r="C249" s="26"/>
      <c r="D249" s="27"/>
      <c r="E249" s="28"/>
      <c r="F249" s="20">
        <f>F238+F246</f>
        <v>29899.663133602597</v>
      </c>
    </row>
    <row r="250" spans="1:7" x14ac:dyDescent="0.2">
      <c r="A250"/>
      <c r="B250"/>
      <c r="C250"/>
      <c r="D250"/>
      <c r="E250"/>
      <c r="F250"/>
    </row>
    <row r="251" spans="1:7" x14ac:dyDescent="0.2">
      <c r="A251" s="317"/>
      <c r="B251" s="318"/>
      <c r="C251" s="318"/>
      <c r="D251" s="318"/>
      <c r="E251" s="318"/>
      <c r="F251" s="319"/>
    </row>
    <row r="252" spans="1:7" x14ac:dyDescent="0.2">
      <c r="A252" s="317"/>
      <c r="B252" s="318"/>
      <c r="C252" s="318"/>
      <c r="D252" s="318"/>
      <c r="E252" s="318"/>
      <c r="F252" s="319"/>
    </row>
    <row r="253" spans="1:7" x14ac:dyDescent="0.2">
      <c r="A253" s="317"/>
      <c r="B253" s="318"/>
      <c r="C253" s="318"/>
      <c r="D253" s="318"/>
      <c r="E253" s="318"/>
      <c r="F253" s="319"/>
    </row>
    <row r="254" spans="1:7" x14ac:dyDescent="0.2">
      <c r="A254" s="317"/>
      <c r="B254" s="318"/>
      <c r="C254" s="318"/>
      <c r="D254" s="318"/>
      <c r="E254" s="318"/>
      <c r="F254" s="319"/>
    </row>
    <row r="255" spans="1:7" x14ac:dyDescent="0.2">
      <c r="A255" s="317"/>
      <c r="B255" s="318"/>
      <c r="C255" s="318"/>
      <c r="D255" s="318"/>
      <c r="E255" s="318"/>
      <c r="F255" s="319"/>
    </row>
    <row r="256" spans="1:7" x14ac:dyDescent="0.2">
      <c r="A256" s="317"/>
      <c r="B256" s="318"/>
      <c r="C256" s="318"/>
      <c r="D256" s="318"/>
      <c r="E256" s="318"/>
      <c r="F256" s="319"/>
    </row>
    <row r="257" spans="1:6" x14ac:dyDescent="0.2">
      <c r="A257" s="317"/>
      <c r="B257" s="318"/>
      <c r="C257" s="318"/>
      <c r="D257" s="318"/>
      <c r="E257" s="318"/>
      <c r="F257" s="319"/>
    </row>
    <row r="258" spans="1:6" x14ac:dyDescent="0.2">
      <c r="A258" s="317"/>
      <c r="B258" s="318"/>
      <c r="C258" s="318"/>
      <c r="D258" s="318"/>
      <c r="E258" s="318"/>
      <c r="F258" s="319"/>
    </row>
    <row r="259" spans="1:6" ht="13.5" thickBot="1" x14ac:dyDescent="0.25">
      <c r="A259" s="320"/>
      <c r="B259" s="316"/>
      <c r="C259" s="316"/>
      <c r="D259" s="316"/>
      <c r="E259" s="316"/>
      <c r="F259" s="321"/>
    </row>
    <row r="260" spans="1:6" x14ac:dyDescent="0.2">
      <c r="A260"/>
      <c r="B260"/>
      <c r="C260"/>
      <c r="D260"/>
      <c r="E260"/>
      <c r="F260"/>
    </row>
    <row r="261" spans="1:6" x14ac:dyDescent="0.2">
      <c r="A261"/>
      <c r="B261"/>
      <c r="C261"/>
      <c r="D261"/>
      <c r="E261"/>
      <c r="F261"/>
    </row>
    <row r="262" spans="1:6" x14ac:dyDescent="0.2">
      <c r="A262"/>
      <c r="B262"/>
      <c r="C262"/>
      <c r="D262"/>
      <c r="E262"/>
      <c r="F262"/>
    </row>
    <row r="263" spans="1:6" ht="11.25" customHeight="1" x14ac:dyDescent="0.2">
      <c r="A263"/>
      <c r="B263"/>
      <c r="C263"/>
      <c r="D263"/>
      <c r="E263"/>
      <c r="F263"/>
    </row>
    <row r="264" spans="1:6" ht="17.25" customHeight="1" x14ac:dyDescent="0.2">
      <c r="A264"/>
      <c r="B264"/>
      <c r="C264"/>
      <c r="D264"/>
      <c r="E264"/>
      <c r="F264"/>
    </row>
    <row r="265" spans="1:6" ht="11.25" customHeight="1" x14ac:dyDescent="0.2">
      <c r="A265"/>
      <c r="B265"/>
      <c r="C265"/>
      <c r="D265"/>
      <c r="E265"/>
      <c r="F265"/>
    </row>
    <row r="266" spans="1:6" ht="11.25" customHeight="1" x14ac:dyDescent="0.2">
      <c r="A266"/>
      <c r="B266"/>
      <c r="C266"/>
      <c r="D266"/>
      <c r="E266"/>
      <c r="F266"/>
    </row>
    <row r="267" spans="1:6" ht="11.25" customHeight="1" x14ac:dyDescent="0.2">
      <c r="A267"/>
      <c r="B267"/>
      <c r="C267"/>
      <c r="D267"/>
      <c r="E267"/>
      <c r="F267"/>
    </row>
    <row r="268" spans="1:6" ht="11.25" customHeight="1" x14ac:dyDescent="0.2">
      <c r="A268"/>
      <c r="B268"/>
      <c r="C268"/>
      <c r="D268"/>
      <c r="E268"/>
      <c r="F268"/>
    </row>
    <row r="269" spans="1:6" x14ac:dyDescent="0.2">
      <c r="A269"/>
      <c r="B269"/>
      <c r="C269"/>
      <c r="D269"/>
      <c r="E269"/>
      <c r="F269"/>
    </row>
    <row r="270" spans="1:6" x14ac:dyDescent="0.2">
      <c r="A270"/>
      <c r="B270"/>
      <c r="C270"/>
      <c r="D270"/>
      <c r="E270"/>
      <c r="F270"/>
    </row>
    <row r="271" spans="1:6" x14ac:dyDescent="0.2">
      <c r="A271"/>
      <c r="B271"/>
      <c r="C271"/>
      <c r="D271"/>
      <c r="E271"/>
      <c r="F271"/>
    </row>
    <row r="272" spans="1:6" ht="11.25" customHeight="1" x14ac:dyDescent="0.2">
      <c r="A272"/>
      <c r="B272"/>
      <c r="C272"/>
      <c r="D272"/>
      <c r="E272"/>
      <c r="F272"/>
    </row>
    <row r="273" spans="1:6" x14ac:dyDescent="0.2">
      <c r="A273"/>
      <c r="B273"/>
      <c r="C273"/>
      <c r="D273"/>
      <c r="E273"/>
      <c r="F273"/>
    </row>
    <row r="274" spans="1:6" x14ac:dyDescent="0.2">
      <c r="A274"/>
      <c r="B274"/>
      <c r="C274"/>
      <c r="D274"/>
      <c r="E274"/>
      <c r="F274"/>
    </row>
    <row r="275" spans="1:6" ht="11.25" customHeight="1" x14ac:dyDescent="0.2">
      <c r="A275"/>
      <c r="B275"/>
      <c r="C275"/>
      <c r="D275"/>
      <c r="E275"/>
      <c r="F275"/>
    </row>
    <row r="276" spans="1:6" ht="24.75" customHeight="1" x14ac:dyDescent="0.2">
      <c r="A276"/>
      <c r="B276"/>
      <c r="C276"/>
      <c r="D276"/>
      <c r="E276"/>
      <c r="F276"/>
    </row>
    <row r="277" spans="1:6" ht="12.6" customHeight="1" x14ac:dyDescent="0.2">
      <c r="A277"/>
      <c r="B277"/>
      <c r="C277"/>
      <c r="D277"/>
      <c r="E277"/>
      <c r="F277"/>
    </row>
    <row r="278" spans="1:6" x14ac:dyDescent="0.2">
      <c r="A278"/>
      <c r="B278"/>
      <c r="C278"/>
      <c r="D278"/>
      <c r="E278"/>
      <c r="F278"/>
    </row>
    <row r="279" spans="1:6" x14ac:dyDescent="0.2">
      <c r="A279"/>
      <c r="B279"/>
      <c r="C279"/>
      <c r="D279"/>
      <c r="E279"/>
      <c r="F279"/>
    </row>
    <row r="280" spans="1:6" x14ac:dyDescent="0.2">
      <c r="A280"/>
      <c r="B280"/>
      <c r="C280"/>
      <c r="D280"/>
      <c r="E280"/>
      <c r="F280"/>
    </row>
    <row r="281" spans="1:6" x14ac:dyDescent="0.2">
      <c r="A281"/>
      <c r="B281"/>
      <c r="C281"/>
      <c r="D281"/>
      <c r="E281"/>
      <c r="F281"/>
    </row>
    <row r="282" spans="1:6" x14ac:dyDescent="0.2">
      <c r="A282"/>
      <c r="B282"/>
      <c r="C282"/>
      <c r="D282"/>
      <c r="E282"/>
      <c r="F282"/>
    </row>
    <row r="283" spans="1:6" x14ac:dyDescent="0.2">
      <c r="A283"/>
      <c r="B283"/>
      <c r="C283"/>
      <c r="D283"/>
      <c r="E283"/>
      <c r="F283"/>
    </row>
    <row r="284" spans="1:6" x14ac:dyDescent="0.2">
      <c r="A284"/>
      <c r="B284"/>
      <c r="C284"/>
      <c r="D284"/>
      <c r="E284"/>
      <c r="F284"/>
    </row>
    <row r="285" spans="1:6" x14ac:dyDescent="0.2">
      <c r="A285"/>
      <c r="B285"/>
      <c r="C285"/>
      <c r="D285"/>
      <c r="E285"/>
      <c r="F285"/>
    </row>
    <row r="286" spans="1:6" x14ac:dyDescent="0.2">
      <c r="A286"/>
      <c r="B286"/>
      <c r="C286"/>
      <c r="D286"/>
      <c r="E286"/>
      <c r="F286"/>
    </row>
    <row r="287" spans="1:6" x14ac:dyDescent="0.2">
      <c r="A287"/>
      <c r="B287"/>
      <c r="C287"/>
      <c r="D287"/>
      <c r="E287"/>
      <c r="F287"/>
    </row>
    <row r="288" spans="1:6" x14ac:dyDescent="0.2">
      <c r="A288"/>
      <c r="B288"/>
      <c r="C288"/>
      <c r="D288"/>
      <c r="E288"/>
      <c r="F288"/>
    </row>
    <row r="289" spans="1:6" x14ac:dyDescent="0.2">
      <c r="A289"/>
      <c r="B289"/>
      <c r="C289"/>
      <c r="D289"/>
      <c r="E289"/>
      <c r="F289"/>
    </row>
    <row r="290" spans="1:6" x14ac:dyDescent="0.2">
      <c r="A290"/>
      <c r="B290"/>
      <c r="C290"/>
      <c r="D290"/>
      <c r="E290"/>
      <c r="F290"/>
    </row>
    <row r="291" spans="1:6" x14ac:dyDescent="0.2">
      <c r="A291"/>
      <c r="B291"/>
      <c r="C291"/>
      <c r="D291"/>
      <c r="E291"/>
      <c r="F291"/>
    </row>
    <row r="292" spans="1:6" x14ac:dyDescent="0.2">
      <c r="A292"/>
      <c r="B292"/>
      <c r="C292"/>
      <c r="D292"/>
      <c r="E292"/>
      <c r="F292"/>
    </row>
    <row r="293" spans="1:6" x14ac:dyDescent="0.2">
      <c r="A293"/>
      <c r="B293"/>
      <c r="C293"/>
      <c r="D293"/>
      <c r="E293"/>
      <c r="F293"/>
    </row>
    <row r="294" spans="1:6" x14ac:dyDescent="0.2">
      <c r="A294"/>
      <c r="B294"/>
      <c r="C294"/>
      <c r="D294"/>
      <c r="E294"/>
      <c r="F294"/>
    </row>
    <row r="295" spans="1:6" x14ac:dyDescent="0.2">
      <c r="A295"/>
      <c r="B295"/>
      <c r="C295"/>
      <c r="D295"/>
      <c r="E295"/>
      <c r="F295"/>
    </row>
    <row r="296" spans="1:6" x14ac:dyDescent="0.2">
      <c r="A296"/>
      <c r="B296"/>
      <c r="C296"/>
      <c r="D296"/>
      <c r="E296"/>
      <c r="F296"/>
    </row>
    <row r="297" spans="1:6" x14ac:dyDescent="0.2">
      <c r="A297"/>
      <c r="B297"/>
      <c r="C297"/>
      <c r="D297"/>
      <c r="E297"/>
      <c r="F297"/>
    </row>
    <row r="298" spans="1:6" x14ac:dyDescent="0.2">
      <c r="A298"/>
      <c r="B298"/>
      <c r="C298"/>
      <c r="D298"/>
      <c r="E298"/>
      <c r="F298"/>
    </row>
    <row r="299" spans="1:6" x14ac:dyDescent="0.2">
      <c r="A299"/>
      <c r="B299"/>
      <c r="C299"/>
      <c r="D299"/>
      <c r="E299"/>
      <c r="F299"/>
    </row>
    <row r="300" spans="1:6" x14ac:dyDescent="0.2">
      <c r="A300"/>
      <c r="B300"/>
      <c r="C300"/>
      <c r="D300"/>
      <c r="E300"/>
      <c r="F300"/>
    </row>
    <row r="301" spans="1:6" x14ac:dyDescent="0.2">
      <c r="A301"/>
      <c r="B301"/>
      <c r="C301"/>
      <c r="D301"/>
      <c r="E301"/>
      <c r="F301"/>
    </row>
    <row r="302" spans="1:6" x14ac:dyDescent="0.2">
      <c r="A302"/>
      <c r="B302"/>
      <c r="C302"/>
      <c r="D302"/>
      <c r="E302"/>
      <c r="F302"/>
    </row>
    <row r="303" spans="1:6" x14ac:dyDescent="0.2">
      <c r="A303"/>
      <c r="B303"/>
      <c r="C303"/>
      <c r="D303"/>
      <c r="E303"/>
      <c r="F303"/>
    </row>
    <row r="304" spans="1:6" x14ac:dyDescent="0.2">
      <c r="A304"/>
      <c r="B304"/>
      <c r="C304"/>
      <c r="D304"/>
      <c r="E304"/>
      <c r="F304"/>
    </row>
    <row r="305" spans="1:7" x14ac:dyDescent="0.2">
      <c r="A305"/>
      <c r="B305"/>
      <c r="C305"/>
      <c r="D305"/>
      <c r="E305"/>
      <c r="F305"/>
    </row>
    <row r="306" spans="1:7" ht="9" customHeight="1" x14ac:dyDescent="0.2">
      <c r="A306"/>
      <c r="B306"/>
      <c r="C306"/>
      <c r="D306"/>
      <c r="E306"/>
      <c r="F306"/>
      <c r="G306" s="7"/>
    </row>
    <row r="307" spans="1:7" x14ac:dyDescent="0.2">
      <c r="A307"/>
      <c r="B307"/>
      <c r="C307"/>
      <c r="D307"/>
      <c r="E307"/>
      <c r="F307"/>
    </row>
    <row r="308" spans="1:7" x14ac:dyDescent="0.2">
      <c r="A308"/>
      <c r="B308"/>
      <c r="C308"/>
      <c r="D308"/>
      <c r="E308"/>
      <c r="F308"/>
    </row>
    <row r="309" spans="1:7" x14ac:dyDescent="0.2">
      <c r="A309"/>
      <c r="B309"/>
      <c r="C309"/>
      <c r="D309"/>
      <c r="E309"/>
      <c r="F309"/>
    </row>
    <row r="310" spans="1:7" x14ac:dyDescent="0.2">
      <c r="A310"/>
      <c r="B310"/>
      <c r="C310"/>
      <c r="D310"/>
      <c r="E310"/>
      <c r="F310"/>
    </row>
    <row r="311" spans="1:7" x14ac:dyDescent="0.2">
      <c r="A311"/>
      <c r="B311"/>
      <c r="C311"/>
      <c r="D311"/>
      <c r="E311"/>
      <c r="F311"/>
    </row>
    <row r="312" spans="1:7" x14ac:dyDescent="0.2">
      <c r="A312"/>
      <c r="B312"/>
      <c r="C312"/>
      <c r="D312"/>
      <c r="E312"/>
      <c r="F312"/>
    </row>
    <row r="313" spans="1:7" x14ac:dyDescent="0.2">
      <c r="A313"/>
      <c r="B313"/>
      <c r="C313"/>
      <c r="D313"/>
      <c r="E313"/>
      <c r="F313"/>
    </row>
    <row r="314" spans="1:7" x14ac:dyDescent="0.2">
      <c r="A314"/>
      <c r="B314"/>
      <c r="C314"/>
      <c r="D314"/>
      <c r="E314"/>
      <c r="F314"/>
    </row>
    <row r="315" spans="1:7" x14ac:dyDescent="0.2">
      <c r="A315"/>
      <c r="B315"/>
      <c r="C315"/>
      <c r="D315"/>
      <c r="E315"/>
      <c r="F315"/>
    </row>
    <row r="316" spans="1:7" x14ac:dyDescent="0.2">
      <c r="A316"/>
      <c r="B316"/>
      <c r="C316"/>
      <c r="D316"/>
      <c r="E316"/>
      <c r="F316"/>
    </row>
    <row r="317" spans="1:7" x14ac:dyDescent="0.2">
      <c r="A317"/>
      <c r="B317"/>
      <c r="C317"/>
      <c r="D317"/>
      <c r="E317"/>
      <c r="F317"/>
    </row>
    <row r="318" spans="1:7" x14ac:dyDescent="0.2">
      <c r="A318"/>
      <c r="B318"/>
      <c r="C318"/>
      <c r="D318"/>
      <c r="E318"/>
      <c r="F318"/>
    </row>
    <row r="319" spans="1:7" x14ac:dyDescent="0.2">
      <c r="A319"/>
      <c r="B319"/>
      <c r="C319"/>
      <c r="D319"/>
      <c r="E319"/>
      <c r="F319"/>
    </row>
    <row r="320" spans="1:7" x14ac:dyDescent="0.2">
      <c r="A320"/>
      <c r="B320"/>
      <c r="C320"/>
      <c r="D320"/>
      <c r="E320"/>
      <c r="F320"/>
    </row>
    <row r="321" spans="1:6" x14ac:dyDescent="0.2">
      <c r="A321"/>
      <c r="B321"/>
      <c r="C321"/>
      <c r="D321"/>
      <c r="E321"/>
      <c r="F321"/>
    </row>
    <row r="322" spans="1:6" x14ac:dyDescent="0.2">
      <c r="A322"/>
      <c r="B322"/>
      <c r="C322"/>
      <c r="D322"/>
      <c r="E322"/>
      <c r="F322"/>
    </row>
    <row r="323" spans="1:6" x14ac:dyDescent="0.2">
      <c r="A323"/>
      <c r="B323"/>
      <c r="C323"/>
      <c r="D323"/>
      <c r="E323"/>
      <c r="F323"/>
    </row>
    <row r="324" spans="1:6" x14ac:dyDescent="0.2">
      <c r="A324"/>
      <c r="B324"/>
      <c r="C324"/>
      <c r="D324"/>
      <c r="E324"/>
      <c r="F324"/>
    </row>
    <row r="325" spans="1:6" x14ac:dyDescent="0.2">
      <c r="A325"/>
      <c r="B325"/>
      <c r="C325"/>
      <c r="D325"/>
      <c r="E325"/>
      <c r="F325"/>
    </row>
    <row r="326" spans="1:6" x14ac:dyDescent="0.2">
      <c r="A326"/>
      <c r="B326"/>
      <c r="C326"/>
      <c r="D326"/>
      <c r="E326"/>
      <c r="F326"/>
    </row>
    <row r="327" spans="1:6" x14ac:dyDescent="0.2">
      <c r="A327"/>
      <c r="B327"/>
      <c r="C327"/>
      <c r="D327"/>
      <c r="E327"/>
      <c r="F327"/>
    </row>
    <row r="328" spans="1:6" x14ac:dyDescent="0.2">
      <c r="A328"/>
      <c r="B328"/>
      <c r="C328"/>
      <c r="D328"/>
      <c r="E328"/>
      <c r="F328"/>
    </row>
    <row r="329" spans="1:6" x14ac:dyDescent="0.2">
      <c r="A329"/>
      <c r="B329"/>
      <c r="C329"/>
      <c r="D329"/>
      <c r="E329"/>
      <c r="F329"/>
    </row>
    <row r="330" spans="1:6" x14ac:dyDescent="0.2">
      <c r="A330"/>
      <c r="B330"/>
      <c r="C330"/>
      <c r="D330"/>
      <c r="E330"/>
      <c r="F330"/>
    </row>
    <row r="331" spans="1:6" x14ac:dyDescent="0.2">
      <c r="A331"/>
      <c r="B331"/>
      <c r="C331"/>
      <c r="D331"/>
      <c r="E331"/>
      <c r="F331"/>
    </row>
    <row r="332" spans="1:6" x14ac:dyDescent="0.2">
      <c r="A332"/>
      <c r="B332"/>
      <c r="C332"/>
      <c r="D332"/>
      <c r="E332"/>
      <c r="F332"/>
    </row>
    <row r="333" spans="1:6" x14ac:dyDescent="0.2">
      <c r="A333"/>
      <c r="B333"/>
      <c r="C333"/>
      <c r="D333"/>
      <c r="E333"/>
      <c r="F333"/>
    </row>
    <row r="334" spans="1:6" x14ac:dyDescent="0.2">
      <c r="A334"/>
      <c r="B334"/>
      <c r="C334"/>
      <c r="D334"/>
      <c r="E334"/>
      <c r="F334"/>
    </row>
    <row r="335" spans="1:6" x14ac:dyDescent="0.2">
      <c r="A335"/>
      <c r="B335"/>
      <c r="C335"/>
      <c r="D335"/>
      <c r="E335"/>
      <c r="F335"/>
    </row>
    <row r="336" spans="1:6" x14ac:dyDescent="0.2">
      <c r="A336"/>
      <c r="B336"/>
      <c r="C336"/>
      <c r="D336"/>
      <c r="E336"/>
      <c r="F336"/>
    </row>
    <row r="337" spans="1:6" x14ac:dyDescent="0.2">
      <c r="A337"/>
      <c r="B337"/>
      <c r="C337"/>
      <c r="D337"/>
      <c r="E337"/>
      <c r="F337"/>
    </row>
    <row r="338" spans="1:6" x14ac:dyDescent="0.2">
      <c r="A338"/>
      <c r="B338"/>
      <c r="C338"/>
      <c r="D338"/>
      <c r="E338"/>
      <c r="F338"/>
    </row>
    <row r="339" spans="1:6" x14ac:dyDescent="0.2">
      <c r="A339"/>
      <c r="B339"/>
      <c r="C339"/>
      <c r="D339"/>
      <c r="E339"/>
      <c r="F339"/>
    </row>
    <row r="340" spans="1:6" x14ac:dyDescent="0.2">
      <c r="A340"/>
      <c r="B340"/>
      <c r="C340"/>
      <c r="D340"/>
      <c r="E340"/>
      <c r="F340"/>
    </row>
    <row r="341" spans="1:6" x14ac:dyDescent="0.2">
      <c r="A341"/>
      <c r="B341"/>
      <c r="C341"/>
      <c r="D341"/>
      <c r="E341"/>
      <c r="F341"/>
    </row>
    <row r="342" spans="1:6" x14ac:dyDescent="0.2">
      <c r="A342"/>
      <c r="B342"/>
      <c r="C342"/>
      <c r="D342"/>
      <c r="E342"/>
      <c r="F342"/>
    </row>
    <row r="343" spans="1:6" x14ac:dyDescent="0.2">
      <c r="A343"/>
      <c r="B343"/>
      <c r="C343"/>
      <c r="D343"/>
      <c r="E343"/>
      <c r="F343"/>
    </row>
    <row r="344" spans="1:6" x14ac:dyDescent="0.2">
      <c r="A344"/>
      <c r="B344"/>
      <c r="C344"/>
      <c r="D344"/>
      <c r="E344"/>
      <c r="F344"/>
    </row>
    <row r="345" spans="1:6" x14ac:dyDescent="0.2">
      <c r="A345"/>
      <c r="B345"/>
      <c r="C345"/>
      <c r="D345"/>
      <c r="E345"/>
      <c r="F345"/>
    </row>
    <row r="346" spans="1:6" x14ac:dyDescent="0.2">
      <c r="A346"/>
      <c r="B346"/>
      <c r="C346"/>
      <c r="D346"/>
      <c r="E346"/>
      <c r="F346"/>
    </row>
    <row r="347" spans="1:6" x14ac:dyDescent="0.2">
      <c r="A347"/>
      <c r="B347"/>
      <c r="C347"/>
      <c r="D347"/>
      <c r="E347"/>
      <c r="F347"/>
    </row>
    <row r="348" spans="1:6" x14ac:dyDescent="0.2">
      <c r="A348"/>
      <c r="B348"/>
      <c r="C348"/>
      <c r="D348"/>
      <c r="E348"/>
      <c r="F348"/>
    </row>
    <row r="349" spans="1:6" x14ac:dyDescent="0.2">
      <c r="A349"/>
      <c r="B349"/>
      <c r="C349"/>
      <c r="D349"/>
      <c r="E349"/>
      <c r="F349"/>
    </row>
    <row r="350" spans="1:6" x14ac:dyDescent="0.2">
      <c r="A350"/>
      <c r="B350"/>
      <c r="C350"/>
      <c r="D350"/>
      <c r="E350"/>
      <c r="F350"/>
    </row>
    <row r="351" spans="1:6" x14ac:dyDescent="0.2">
      <c r="A351"/>
      <c r="B351"/>
      <c r="C351"/>
      <c r="D351"/>
      <c r="E351"/>
      <c r="F351"/>
    </row>
    <row r="352" spans="1:6" x14ac:dyDescent="0.2">
      <c r="A352"/>
      <c r="B352"/>
      <c r="C352"/>
      <c r="D352"/>
      <c r="E352"/>
      <c r="F352"/>
    </row>
    <row r="353" spans="1:6" x14ac:dyDescent="0.2">
      <c r="A353"/>
      <c r="B353"/>
      <c r="C353"/>
      <c r="D353"/>
      <c r="E353"/>
      <c r="F353"/>
    </row>
    <row r="354" spans="1:6" x14ac:dyDescent="0.2">
      <c r="A354"/>
      <c r="B354"/>
      <c r="C354"/>
      <c r="D354"/>
      <c r="E354"/>
      <c r="F354"/>
    </row>
    <row r="355" spans="1:6" x14ac:dyDescent="0.2">
      <c r="A355"/>
      <c r="B355"/>
      <c r="C355"/>
      <c r="D355"/>
      <c r="E355"/>
      <c r="F355"/>
    </row>
    <row r="356" spans="1:6" x14ac:dyDescent="0.2">
      <c r="A356"/>
      <c r="B356"/>
      <c r="C356"/>
      <c r="D356"/>
      <c r="E356"/>
      <c r="F356"/>
    </row>
    <row r="357" spans="1:6" x14ac:dyDescent="0.2">
      <c r="A357"/>
      <c r="B357"/>
      <c r="C357"/>
      <c r="D357"/>
      <c r="E357"/>
      <c r="F357"/>
    </row>
    <row r="358" spans="1:6" x14ac:dyDescent="0.2">
      <c r="A358"/>
      <c r="B358"/>
      <c r="C358"/>
      <c r="D358"/>
      <c r="E358"/>
      <c r="F358"/>
    </row>
    <row r="359" spans="1:6" x14ac:dyDescent="0.2">
      <c r="A359"/>
      <c r="B359"/>
      <c r="C359"/>
      <c r="D359"/>
      <c r="E359"/>
      <c r="F359"/>
    </row>
    <row r="360" spans="1:6" x14ac:dyDescent="0.2">
      <c r="A360"/>
      <c r="B360"/>
      <c r="C360"/>
      <c r="D360"/>
      <c r="E360"/>
      <c r="F360"/>
    </row>
    <row r="361" spans="1:6" x14ac:dyDescent="0.2">
      <c r="A361"/>
      <c r="B361"/>
      <c r="C361"/>
      <c r="D361"/>
      <c r="E361"/>
      <c r="F361"/>
    </row>
    <row r="362" spans="1:6" x14ac:dyDescent="0.2">
      <c r="A362"/>
      <c r="B362"/>
      <c r="C362"/>
      <c r="D362"/>
      <c r="E362"/>
      <c r="F362"/>
    </row>
    <row r="363" spans="1:6" x14ac:dyDescent="0.2">
      <c r="A363"/>
      <c r="B363"/>
      <c r="C363"/>
      <c r="D363"/>
      <c r="E363"/>
      <c r="F363"/>
    </row>
    <row r="364" spans="1:6" x14ac:dyDescent="0.2">
      <c r="A364"/>
      <c r="B364"/>
      <c r="C364"/>
      <c r="D364"/>
      <c r="E364"/>
      <c r="F364"/>
    </row>
    <row r="365" spans="1:6" x14ac:dyDescent="0.2">
      <c r="A365"/>
      <c r="B365"/>
      <c r="C365"/>
      <c r="D365"/>
      <c r="E365"/>
      <c r="F365"/>
    </row>
    <row r="366" spans="1:6" x14ac:dyDescent="0.2">
      <c r="A366"/>
      <c r="B366"/>
      <c r="C366"/>
      <c r="D366"/>
      <c r="E366"/>
      <c r="F366"/>
    </row>
    <row r="367" spans="1:6" x14ac:dyDescent="0.2">
      <c r="A367"/>
      <c r="B367"/>
      <c r="C367"/>
      <c r="D367"/>
      <c r="E367"/>
      <c r="F367"/>
    </row>
    <row r="368" spans="1:6" x14ac:dyDescent="0.2">
      <c r="A368"/>
      <c r="B368"/>
      <c r="C368"/>
      <c r="D368"/>
      <c r="E368"/>
      <c r="F368"/>
    </row>
    <row r="369" spans="1:6" x14ac:dyDescent="0.2">
      <c r="A369"/>
      <c r="B369"/>
      <c r="C369"/>
      <c r="D369"/>
      <c r="E369"/>
      <c r="F369"/>
    </row>
    <row r="370" spans="1:6" x14ac:dyDescent="0.2">
      <c r="A370"/>
      <c r="B370"/>
      <c r="C370"/>
      <c r="D370"/>
      <c r="E370"/>
      <c r="F370"/>
    </row>
    <row r="371" spans="1:6" x14ac:dyDescent="0.2">
      <c r="A371"/>
      <c r="B371"/>
      <c r="C371"/>
      <c r="D371"/>
      <c r="E371"/>
      <c r="F371"/>
    </row>
    <row r="372" spans="1:6" x14ac:dyDescent="0.2">
      <c r="A372"/>
      <c r="B372"/>
      <c r="C372"/>
      <c r="D372"/>
      <c r="E372"/>
      <c r="F372"/>
    </row>
    <row r="373" spans="1:6" x14ac:dyDescent="0.2">
      <c r="A373"/>
      <c r="B373"/>
      <c r="C373"/>
      <c r="D373"/>
      <c r="E373"/>
      <c r="F373"/>
    </row>
    <row r="374" spans="1:6" x14ac:dyDescent="0.2">
      <c r="A374"/>
      <c r="B374"/>
      <c r="C374"/>
      <c r="D374"/>
      <c r="E374"/>
      <c r="F374"/>
    </row>
    <row r="375" spans="1:6" x14ac:dyDescent="0.2">
      <c r="A375"/>
      <c r="B375"/>
      <c r="C375"/>
      <c r="D375"/>
      <c r="E375"/>
      <c r="F375"/>
    </row>
    <row r="376" spans="1:6" x14ac:dyDescent="0.2">
      <c r="A376"/>
      <c r="B376"/>
      <c r="C376"/>
      <c r="D376"/>
      <c r="E376"/>
      <c r="F376"/>
    </row>
    <row r="377" spans="1:6" x14ac:dyDescent="0.2">
      <c r="A377"/>
      <c r="B377"/>
      <c r="C377"/>
      <c r="D377"/>
      <c r="E377"/>
      <c r="F377"/>
    </row>
    <row r="378" spans="1:6" x14ac:dyDescent="0.2">
      <c r="A378"/>
      <c r="B378"/>
      <c r="C378"/>
      <c r="D378"/>
      <c r="E378"/>
      <c r="F378"/>
    </row>
    <row r="379" spans="1:6" x14ac:dyDescent="0.2">
      <c r="A379"/>
      <c r="B379"/>
      <c r="C379"/>
      <c r="D379"/>
      <c r="E379"/>
      <c r="F379"/>
    </row>
    <row r="380" spans="1:6" x14ac:dyDescent="0.2">
      <c r="A380"/>
      <c r="B380"/>
      <c r="C380"/>
      <c r="D380"/>
      <c r="E380"/>
      <c r="F380"/>
    </row>
    <row r="381" spans="1:6" x14ac:dyDescent="0.2">
      <c r="A381"/>
      <c r="B381"/>
      <c r="C381"/>
      <c r="D381"/>
      <c r="E381"/>
      <c r="F381"/>
    </row>
    <row r="382" spans="1:6" x14ac:dyDescent="0.2">
      <c r="A382"/>
      <c r="B382"/>
      <c r="C382"/>
      <c r="D382"/>
      <c r="E382"/>
      <c r="F382"/>
    </row>
    <row r="383" spans="1:6" x14ac:dyDescent="0.2">
      <c r="A383"/>
      <c r="B383"/>
      <c r="C383"/>
      <c r="D383"/>
      <c r="E383"/>
      <c r="F383"/>
    </row>
    <row r="384" spans="1:6" x14ac:dyDescent="0.2">
      <c r="A384"/>
      <c r="B384"/>
      <c r="C384"/>
      <c r="D384"/>
      <c r="E384"/>
      <c r="F384"/>
    </row>
    <row r="385" spans="1:6" x14ac:dyDescent="0.2">
      <c r="A385"/>
      <c r="B385"/>
      <c r="C385"/>
      <c r="D385"/>
      <c r="E385"/>
      <c r="F385"/>
    </row>
    <row r="386" spans="1:6" x14ac:dyDescent="0.2">
      <c r="A386"/>
      <c r="B386"/>
      <c r="C386"/>
      <c r="D386"/>
      <c r="E386"/>
      <c r="F386"/>
    </row>
    <row r="387" spans="1:6" x14ac:dyDescent="0.2">
      <c r="A387"/>
      <c r="B387"/>
      <c r="C387"/>
      <c r="D387"/>
      <c r="E387"/>
      <c r="F387"/>
    </row>
    <row r="388" spans="1:6" x14ac:dyDescent="0.2">
      <c r="A388"/>
      <c r="B388"/>
      <c r="C388"/>
      <c r="D388"/>
      <c r="E388"/>
      <c r="F388"/>
    </row>
    <row r="389" spans="1:6" x14ac:dyDescent="0.2">
      <c r="A389"/>
      <c r="B389"/>
      <c r="C389"/>
      <c r="D389"/>
      <c r="E389"/>
      <c r="F389"/>
    </row>
    <row r="390" spans="1:6" x14ac:dyDescent="0.2">
      <c r="A390"/>
      <c r="B390"/>
      <c r="C390"/>
      <c r="D390"/>
      <c r="E390"/>
      <c r="F390"/>
    </row>
    <row r="391" spans="1:6" x14ac:dyDescent="0.2">
      <c r="A391"/>
      <c r="B391"/>
      <c r="C391"/>
      <c r="D391"/>
      <c r="E391"/>
      <c r="F391"/>
    </row>
    <row r="392" spans="1:6" x14ac:dyDescent="0.2">
      <c r="A392"/>
      <c r="B392"/>
      <c r="C392"/>
      <c r="D392"/>
      <c r="E392"/>
      <c r="F392"/>
    </row>
    <row r="393" spans="1:6" x14ac:dyDescent="0.2">
      <c r="A393"/>
      <c r="B393"/>
      <c r="C393"/>
      <c r="D393"/>
      <c r="E393"/>
      <c r="F393"/>
    </row>
    <row r="394" spans="1:6" x14ac:dyDescent="0.2">
      <c r="A394"/>
      <c r="B394"/>
      <c r="C394"/>
      <c r="D394"/>
      <c r="E394"/>
      <c r="F394"/>
    </row>
    <row r="395" spans="1:6" x14ac:dyDescent="0.2">
      <c r="A395"/>
      <c r="B395"/>
      <c r="C395"/>
      <c r="D395"/>
      <c r="E395"/>
      <c r="F395"/>
    </row>
    <row r="396" spans="1:6" x14ac:dyDescent="0.2">
      <c r="A396"/>
      <c r="B396"/>
      <c r="C396"/>
      <c r="D396"/>
      <c r="E396"/>
      <c r="F396"/>
    </row>
    <row r="397" spans="1:6" x14ac:dyDescent="0.2">
      <c r="A397"/>
      <c r="B397"/>
      <c r="C397"/>
      <c r="D397"/>
      <c r="E397"/>
      <c r="F397"/>
    </row>
    <row r="398" spans="1:6" x14ac:dyDescent="0.2">
      <c r="A398"/>
      <c r="B398"/>
      <c r="C398"/>
      <c r="D398"/>
      <c r="E398"/>
      <c r="F398"/>
    </row>
    <row r="399" spans="1:6" x14ac:dyDescent="0.2">
      <c r="A399"/>
      <c r="B399"/>
      <c r="C399"/>
      <c r="D399"/>
      <c r="E399"/>
      <c r="F399"/>
    </row>
    <row r="400" spans="1:6" x14ac:dyDescent="0.2">
      <c r="A400"/>
      <c r="B400"/>
      <c r="C400"/>
      <c r="D400"/>
      <c r="E400"/>
      <c r="F400"/>
    </row>
    <row r="401" spans="1:6" x14ac:dyDescent="0.2">
      <c r="A401"/>
      <c r="B401"/>
      <c r="C401"/>
      <c r="D401"/>
      <c r="E401"/>
      <c r="F401"/>
    </row>
    <row r="402" spans="1:6" x14ac:dyDescent="0.2">
      <c r="A402"/>
      <c r="B402"/>
      <c r="C402"/>
      <c r="D402"/>
      <c r="E402"/>
      <c r="F402"/>
    </row>
    <row r="403" spans="1:6" x14ac:dyDescent="0.2">
      <c r="A403"/>
      <c r="B403"/>
      <c r="C403"/>
      <c r="D403"/>
      <c r="E403"/>
      <c r="F403"/>
    </row>
    <row r="404" spans="1:6" x14ac:dyDescent="0.2">
      <c r="A404"/>
      <c r="B404"/>
      <c r="C404"/>
      <c r="D404"/>
      <c r="E404"/>
      <c r="F404"/>
    </row>
    <row r="405" spans="1:6" x14ac:dyDescent="0.2">
      <c r="A405"/>
      <c r="B405"/>
      <c r="C405"/>
      <c r="D405"/>
      <c r="E405"/>
      <c r="F405"/>
    </row>
    <row r="406" spans="1:6" x14ac:dyDescent="0.2">
      <c r="A406"/>
      <c r="B406"/>
      <c r="C406"/>
      <c r="D406"/>
      <c r="E406"/>
      <c r="F406"/>
    </row>
    <row r="407" spans="1:6" x14ac:dyDescent="0.2">
      <c r="A407"/>
      <c r="B407"/>
      <c r="C407"/>
      <c r="D407"/>
      <c r="E407"/>
      <c r="F407"/>
    </row>
    <row r="408" spans="1:6" x14ac:dyDescent="0.2">
      <c r="A408"/>
      <c r="B408"/>
      <c r="C408"/>
      <c r="D408"/>
      <c r="E408"/>
      <c r="F408"/>
    </row>
    <row r="409" spans="1:6" x14ac:dyDescent="0.2">
      <c r="A409"/>
      <c r="B409"/>
      <c r="C409"/>
      <c r="D409"/>
      <c r="E409"/>
      <c r="F409"/>
    </row>
    <row r="410" spans="1:6" x14ac:dyDescent="0.2">
      <c r="A410"/>
      <c r="B410"/>
      <c r="C410"/>
      <c r="D410"/>
      <c r="E410"/>
      <c r="F410"/>
    </row>
    <row r="411" spans="1:6" x14ac:dyDescent="0.2">
      <c r="A411"/>
      <c r="B411"/>
      <c r="C411"/>
      <c r="D411"/>
      <c r="E411"/>
      <c r="F411"/>
    </row>
    <row r="412" spans="1:6" x14ac:dyDescent="0.2">
      <c r="A412"/>
      <c r="B412"/>
      <c r="C412"/>
      <c r="D412"/>
      <c r="E412"/>
      <c r="F412"/>
    </row>
    <row r="413" spans="1:6" x14ac:dyDescent="0.2">
      <c r="A413"/>
      <c r="B413"/>
      <c r="C413"/>
      <c r="D413"/>
      <c r="E413"/>
      <c r="F413"/>
    </row>
    <row r="414" spans="1:6" x14ac:dyDescent="0.2">
      <c r="A414"/>
      <c r="B414"/>
      <c r="C414"/>
      <c r="D414"/>
      <c r="E414"/>
      <c r="F414"/>
    </row>
    <row r="415" spans="1:6" x14ac:dyDescent="0.2">
      <c r="A415"/>
      <c r="B415"/>
      <c r="C415"/>
      <c r="D415"/>
      <c r="E415"/>
      <c r="F415"/>
    </row>
    <row r="416" spans="1:6" x14ac:dyDescent="0.2">
      <c r="A416"/>
      <c r="B416"/>
      <c r="C416"/>
      <c r="D416"/>
      <c r="E416"/>
      <c r="F416"/>
    </row>
    <row r="417" spans="1:9" x14ac:dyDescent="0.2">
      <c r="A417"/>
      <c r="B417"/>
      <c r="C417"/>
      <c r="D417"/>
      <c r="E417"/>
      <c r="F417"/>
    </row>
    <row r="418" spans="1:9" x14ac:dyDescent="0.2">
      <c r="A418"/>
      <c r="B418"/>
      <c r="C418"/>
      <c r="D418"/>
      <c r="E418"/>
      <c r="F418"/>
    </row>
    <row r="419" spans="1:9" x14ac:dyDescent="0.2">
      <c r="A419"/>
      <c r="B419"/>
      <c r="C419"/>
      <c r="D419"/>
      <c r="E419"/>
      <c r="F419"/>
    </row>
    <row r="420" spans="1:9" x14ac:dyDescent="0.2">
      <c r="A420"/>
      <c r="B420"/>
      <c r="C420"/>
      <c r="D420"/>
      <c r="E420"/>
      <c r="F420"/>
    </row>
    <row r="421" spans="1:9" x14ac:dyDescent="0.2">
      <c r="A421"/>
      <c r="B421"/>
      <c r="C421"/>
      <c r="D421"/>
      <c r="E421"/>
      <c r="F421"/>
    </row>
    <row r="422" spans="1:9" x14ac:dyDescent="0.2">
      <c r="A422"/>
      <c r="B422"/>
      <c r="C422"/>
      <c r="D422"/>
      <c r="E422"/>
      <c r="F422"/>
    </row>
    <row r="423" spans="1:9" x14ac:dyDescent="0.2">
      <c r="A423"/>
      <c r="B423"/>
      <c r="C423"/>
      <c r="D423"/>
      <c r="E423"/>
      <c r="F423"/>
    </row>
    <row r="424" spans="1:9" x14ac:dyDescent="0.2">
      <c r="A424"/>
      <c r="B424"/>
      <c r="C424"/>
      <c r="D424"/>
      <c r="E424"/>
      <c r="F424"/>
    </row>
    <row r="425" spans="1:9" x14ac:dyDescent="0.2">
      <c r="A425"/>
      <c r="B425"/>
      <c r="C425"/>
      <c r="D425"/>
      <c r="E425"/>
      <c r="F425"/>
    </row>
    <row r="426" spans="1:9" x14ac:dyDescent="0.2">
      <c r="A426"/>
      <c r="B426"/>
      <c r="C426"/>
      <c r="D426"/>
      <c r="E426"/>
      <c r="F426"/>
      <c r="H426" s="5"/>
    </row>
    <row r="427" spans="1:9" x14ac:dyDescent="0.2">
      <c r="A427"/>
      <c r="B427"/>
      <c r="C427"/>
      <c r="D427"/>
      <c r="E427"/>
      <c r="F427"/>
      <c r="H427"/>
      <c r="I427"/>
    </row>
    <row r="428" spans="1:9" x14ac:dyDescent="0.2">
      <c r="A428"/>
      <c r="B428"/>
      <c r="C428"/>
      <c r="D428"/>
      <c r="E428"/>
      <c r="F428"/>
      <c r="H428"/>
      <c r="I428"/>
    </row>
    <row r="429" spans="1:9" x14ac:dyDescent="0.2">
      <c r="A429"/>
      <c r="B429"/>
      <c r="C429"/>
      <c r="D429"/>
      <c r="E429"/>
      <c r="F429"/>
      <c r="H429"/>
      <c r="I429"/>
    </row>
    <row r="430" spans="1:9" x14ac:dyDescent="0.2">
      <c r="A430"/>
      <c r="B430"/>
      <c r="C430"/>
      <c r="D430"/>
      <c r="E430"/>
      <c r="F430"/>
      <c r="H430"/>
      <c r="I430"/>
    </row>
    <row r="431" spans="1:9" x14ac:dyDescent="0.2">
      <c r="A431"/>
      <c r="B431"/>
      <c r="C431"/>
      <c r="D431"/>
      <c r="E431"/>
      <c r="F431"/>
      <c r="H431"/>
      <c r="I431"/>
    </row>
    <row r="432" spans="1:9" x14ac:dyDescent="0.2">
      <c r="A432"/>
      <c r="B432"/>
      <c r="C432"/>
      <c r="D432"/>
      <c r="E432"/>
      <c r="F432"/>
      <c r="H432"/>
      <c r="I432"/>
    </row>
    <row r="433" spans="1:9" x14ac:dyDescent="0.2">
      <c r="A433"/>
      <c r="B433"/>
      <c r="C433"/>
      <c r="D433"/>
      <c r="E433"/>
      <c r="F433"/>
      <c r="H433"/>
      <c r="I433"/>
    </row>
    <row r="434" spans="1:9" x14ac:dyDescent="0.2">
      <c r="A434"/>
      <c r="B434"/>
      <c r="C434"/>
      <c r="D434"/>
      <c r="E434"/>
      <c r="F434"/>
      <c r="H434"/>
      <c r="I434"/>
    </row>
    <row r="435" spans="1:9" x14ac:dyDescent="0.2">
      <c r="A435"/>
      <c r="B435"/>
      <c r="C435"/>
      <c r="D435"/>
      <c r="E435"/>
      <c r="F435"/>
      <c r="H435"/>
      <c r="I435"/>
    </row>
    <row r="436" spans="1:9" x14ac:dyDescent="0.2">
      <c r="A436"/>
      <c r="B436"/>
      <c r="C436"/>
      <c r="D436"/>
      <c r="E436"/>
      <c r="F436"/>
      <c r="H436"/>
      <c r="I436"/>
    </row>
    <row r="437" spans="1:9" x14ac:dyDescent="0.2">
      <c r="A437"/>
      <c r="B437"/>
      <c r="C437"/>
      <c r="D437"/>
      <c r="E437"/>
      <c r="F437"/>
      <c r="H437"/>
      <c r="I437"/>
    </row>
    <row r="438" spans="1:9" x14ac:dyDescent="0.2">
      <c r="A438"/>
      <c r="B438"/>
      <c r="C438"/>
      <c r="D438"/>
      <c r="E438"/>
      <c r="F438"/>
      <c r="H438"/>
      <c r="I438"/>
    </row>
    <row r="439" spans="1:9" x14ac:dyDescent="0.2">
      <c r="A439"/>
      <c r="B439"/>
      <c r="C439"/>
      <c r="D439"/>
      <c r="E439"/>
      <c r="F439"/>
    </row>
    <row r="440" spans="1:9" x14ac:dyDescent="0.2">
      <c r="A440"/>
      <c r="B440"/>
      <c r="C440"/>
      <c r="D440"/>
      <c r="E440"/>
      <c r="F440"/>
    </row>
    <row r="441" spans="1:9" x14ac:dyDescent="0.2">
      <c r="A441"/>
      <c r="B441"/>
      <c r="C441"/>
      <c r="D441"/>
      <c r="E441"/>
      <c r="F441"/>
    </row>
    <row r="442" spans="1:9" x14ac:dyDescent="0.2">
      <c r="A442"/>
      <c r="B442"/>
      <c r="C442"/>
      <c r="D442"/>
      <c r="E442"/>
      <c r="F442"/>
    </row>
    <row r="443" spans="1:9" x14ac:dyDescent="0.2">
      <c r="A443"/>
      <c r="B443"/>
      <c r="C443"/>
      <c r="D443"/>
      <c r="E443"/>
      <c r="F443"/>
    </row>
    <row r="444" spans="1:9" x14ac:dyDescent="0.2">
      <c r="A444"/>
      <c r="B444"/>
      <c r="C444"/>
      <c r="D444"/>
      <c r="E444"/>
      <c r="F444"/>
    </row>
    <row r="445" spans="1:9" x14ac:dyDescent="0.2">
      <c r="A445"/>
      <c r="B445"/>
      <c r="C445"/>
      <c r="D445"/>
      <c r="E445"/>
      <c r="F445"/>
    </row>
    <row r="446" spans="1:9" x14ac:dyDescent="0.2">
      <c r="A446"/>
      <c r="B446"/>
      <c r="C446"/>
      <c r="D446"/>
      <c r="E446"/>
      <c r="F446"/>
    </row>
    <row r="447" spans="1:9" x14ac:dyDescent="0.2">
      <c r="A447"/>
      <c r="B447"/>
      <c r="C447"/>
      <c r="D447"/>
      <c r="E447"/>
      <c r="F447"/>
    </row>
    <row r="448" spans="1:9" x14ac:dyDescent="0.2">
      <c r="A448"/>
      <c r="B448"/>
      <c r="C448"/>
      <c r="D448"/>
      <c r="E448"/>
      <c r="F448"/>
    </row>
    <row r="449" spans="1:6" x14ac:dyDescent="0.2">
      <c r="A449"/>
      <c r="B449"/>
      <c r="C449"/>
      <c r="D449"/>
      <c r="E449"/>
      <c r="F449"/>
    </row>
    <row r="450" spans="1:6" x14ac:dyDescent="0.2">
      <c r="A450"/>
      <c r="B450"/>
      <c r="C450"/>
      <c r="D450"/>
      <c r="E450"/>
      <c r="F450"/>
    </row>
    <row r="451" spans="1:6" x14ac:dyDescent="0.2">
      <c r="A451"/>
      <c r="B451"/>
      <c r="C451"/>
      <c r="D451"/>
      <c r="E451"/>
      <c r="F451"/>
    </row>
    <row r="452" spans="1:6" x14ac:dyDescent="0.2">
      <c r="A452"/>
      <c r="B452"/>
      <c r="C452"/>
      <c r="D452"/>
      <c r="E452"/>
      <c r="F452"/>
    </row>
    <row r="453" spans="1:6" x14ac:dyDescent="0.2">
      <c r="A453"/>
      <c r="B453"/>
      <c r="C453"/>
      <c r="D453"/>
      <c r="E453"/>
      <c r="F453"/>
    </row>
    <row r="454" spans="1:6" x14ac:dyDescent="0.2">
      <c r="A454"/>
      <c r="B454"/>
      <c r="C454"/>
      <c r="D454"/>
      <c r="E454"/>
      <c r="F454"/>
    </row>
    <row r="455" spans="1:6" x14ac:dyDescent="0.2">
      <c r="A455"/>
      <c r="B455"/>
      <c r="C455"/>
      <c r="D455"/>
      <c r="E455"/>
      <c r="F455"/>
    </row>
    <row r="456" spans="1:6" x14ac:dyDescent="0.2">
      <c r="A456"/>
      <c r="B456"/>
      <c r="C456"/>
      <c r="D456"/>
      <c r="E456"/>
      <c r="F456"/>
    </row>
    <row r="457" spans="1:6" x14ac:dyDescent="0.2">
      <c r="A457"/>
      <c r="B457"/>
      <c r="C457"/>
      <c r="D457"/>
      <c r="E457"/>
      <c r="F457"/>
    </row>
    <row r="458" spans="1:6" x14ac:dyDescent="0.2">
      <c r="A458"/>
      <c r="B458"/>
      <c r="C458"/>
      <c r="D458"/>
      <c r="E458"/>
      <c r="F458"/>
    </row>
    <row r="459" spans="1:6" x14ac:dyDescent="0.2">
      <c r="A459"/>
      <c r="B459"/>
      <c r="C459"/>
      <c r="D459"/>
      <c r="E459"/>
      <c r="F459"/>
    </row>
    <row r="460" spans="1:6" x14ac:dyDescent="0.2">
      <c r="A460"/>
      <c r="B460"/>
      <c r="C460"/>
      <c r="D460"/>
      <c r="E460"/>
      <c r="F460"/>
    </row>
    <row r="461" spans="1:6" x14ac:dyDescent="0.2">
      <c r="A461"/>
      <c r="B461"/>
      <c r="C461"/>
      <c r="D461"/>
      <c r="E461"/>
      <c r="F461"/>
    </row>
    <row r="462" spans="1:6" x14ac:dyDescent="0.2">
      <c r="A462"/>
      <c r="B462"/>
      <c r="C462"/>
      <c r="D462"/>
      <c r="E462"/>
      <c r="F462"/>
    </row>
    <row r="463" spans="1:6" x14ac:dyDescent="0.2">
      <c r="A463"/>
      <c r="B463"/>
      <c r="C463"/>
      <c r="D463"/>
      <c r="E463"/>
      <c r="F463"/>
    </row>
    <row r="464" spans="1:6" x14ac:dyDescent="0.2">
      <c r="A464"/>
      <c r="B464"/>
      <c r="C464"/>
      <c r="D464"/>
      <c r="E464"/>
      <c r="F464"/>
    </row>
    <row r="465" spans="1:6" x14ac:dyDescent="0.2">
      <c r="A465"/>
      <c r="B465"/>
      <c r="C465"/>
      <c r="D465"/>
      <c r="E465"/>
      <c r="F465"/>
    </row>
    <row r="466" spans="1:6" x14ac:dyDescent="0.2">
      <c r="A466"/>
      <c r="B466"/>
      <c r="C466"/>
      <c r="D466"/>
      <c r="E466"/>
      <c r="F466"/>
    </row>
    <row r="467" spans="1:6" x14ac:dyDescent="0.2">
      <c r="A467"/>
      <c r="B467"/>
      <c r="C467"/>
      <c r="D467"/>
      <c r="E467"/>
      <c r="F467"/>
    </row>
    <row r="468" spans="1:6" x14ac:dyDescent="0.2">
      <c r="A468"/>
      <c r="B468"/>
      <c r="C468"/>
      <c r="D468"/>
      <c r="E468"/>
      <c r="F468"/>
    </row>
    <row r="469" spans="1:6" x14ac:dyDescent="0.2">
      <c r="A469"/>
      <c r="B469"/>
      <c r="C469"/>
      <c r="D469"/>
      <c r="E469"/>
      <c r="F469"/>
    </row>
    <row r="470" spans="1:6" x14ac:dyDescent="0.2">
      <c r="A470"/>
      <c r="B470"/>
      <c r="C470"/>
      <c r="D470"/>
      <c r="E470"/>
      <c r="F470"/>
    </row>
    <row r="471" spans="1:6" x14ac:dyDescent="0.2">
      <c r="A471"/>
      <c r="B471"/>
      <c r="C471"/>
      <c r="D471"/>
      <c r="E471"/>
      <c r="F471"/>
    </row>
    <row r="472" spans="1:6" x14ac:dyDescent="0.2">
      <c r="A472"/>
      <c r="B472"/>
      <c r="C472"/>
      <c r="D472"/>
      <c r="E472"/>
      <c r="F472"/>
    </row>
    <row r="473" spans="1:6" x14ac:dyDescent="0.2">
      <c r="A473"/>
      <c r="B473"/>
      <c r="C473"/>
      <c r="D473"/>
      <c r="E473"/>
      <c r="F473"/>
    </row>
    <row r="474" spans="1:6" x14ac:dyDescent="0.2">
      <c r="A474"/>
      <c r="B474"/>
      <c r="C474"/>
      <c r="D474"/>
      <c r="E474"/>
      <c r="F474"/>
    </row>
    <row r="475" spans="1:6" x14ac:dyDescent="0.2">
      <c r="A475"/>
      <c r="B475"/>
      <c r="C475"/>
      <c r="D475"/>
      <c r="E475"/>
      <c r="F475"/>
    </row>
    <row r="476" spans="1:6" x14ac:dyDescent="0.2">
      <c r="A476"/>
      <c r="B476"/>
      <c r="C476"/>
      <c r="D476"/>
      <c r="E476"/>
      <c r="F476"/>
    </row>
    <row r="477" spans="1:6" x14ac:dyDescent="0.2">
      <c r="A477"/>
      <c r="B477"/>
      <c r="C477"/>
      <c r="D477"/>
      <c r="E477"/>
      <c r="F477"/>
    </row>
    <row r="478" spans="1:6" x14ac:dyDescent="0.2">
      <c r="A478"/>
      <c r="B478"/>
      <c r="C478"/>
      <c r="D478"/>
      <c r="E478"/>
      <c r="F478"/>
    </row>
    <row r="479" spans="1:6" x14ac:dyDescent="0.2">
      <c r="A479"/>
      <c r="B479"/>
      <c r="C479"/>
      <c r="D479"/>
      <c r="E479"/>
      <c r="F479"/>
    </row>
    <row r="480" spans="1:6" x14ac:dyDescent="0.2">
      <c r="A480"/>
      <c r="B480"/>
      <c r="C480"/>
      <c r="D480"/>
      <c r="E480"/>
      <c r="F480"/>
    </row>
    <row r="481" spans="1:6" x14ac:dyDescent="0.2">
      <c r="A481"/>
      <c r="B481"/>
      <c r="C481"/>
      <c r="D481"/>
      <c r="E481"/>
      <c r="F481"/>
    </row>
    <row r="482" spans="1:6" x14ac:dyDescent="0.2">
      <c r="A482"/>
      <c r="B482"/>
      <c r="C482"/>
      <c r="D482"/>
      <c r="E482"/>
      <c r="F482"/>
    </row>
    <row r="483" spans="1:6" x14ac:dyDescent="0.2">
      <c r="A483"/>
      <c r="B483"/>
      <c r="C483"/>
      <c r="D483"/>
      <c r="E483"/>
      <c r="F483"/>
    </row>
    <row r="484" spans="1:6" x14ac:dyDescent="0.2">
      <c r="A484"/>
      <c r="B484"/>
      <c r="C484"/>
      <c r="D484"/>
      <c r="E484"/>
      <c r="F484"/>
    </row>
    <row r="485" spans="1:6" x14ac:dyDescent="0.2">
      <c r="A485"/>
      <c r="B485"/>
      <c r="C485"/>
      <c r="D485"/>
      <c r="E485"/>
      <c r="F485"/>
    </row>
    <row r="486" spans="1:6" x14ac:dyDescent="0.2">
      <c r="A486"/>
      <c r="B486"/>
      <c r="C486"/>
      <c r="D486"/>
      <c r="E486"/>
      <c r="F486"/>
    </row>
    <row r="487" spans="1:6" x14ac:dyDescent="0.2">
      <c r="A487"/>
      <c r="B487"/>
      <c r="C487"/>
      <c r="D487"/>
      <c r="E487"/>
      <c r="F487"/>
    </row>
    <row r="488" spans="1:6" x14ac:dyDescent="0.2">
      <c r="A488"/>
      <c r="B488"/>
      <c r="C488"/>
      <c r="D488"/>
      <c r="E488"/>
      <c r="F488"/>
    </row>
    <row r="489" spans="1:6" x14ac:dyDescent="0.2">
      <c r="A489"/>
      <c r="B489"/>
      <c r="C489"/>
      <c r="D489"/>
      <c r="E489"/>
      <c r="F489"/>
    </row>
    <row r="490" spans="1:6" x14ac:dyDescent="0.2">
      <c r="A490"/>
      <c r="B490"/>
      <c r="C490"/>
      <c r="D490"/>
      <c r="E490"/>
      <c r="F490"/>
    </row>
    <row r="491" spans="1:6" x14ac:dyDescent="0.2">
      <c r="A491"/>
      <c r="B491"/>
      <c r="C491"/>
      <c r="D491"/>
      <c r="E491"/>
      <c r="F491"/>
    </row>
    <row r="492" spans="1:6" x14ac:dyDescent="0.2">
      <c r="A492"/>
      <c r="B492"/>
      <c r="C492"/>
      <c r="D492"/>
      <c r="E492"/>
      <c r="F492"/>
    </row>
    <row r="493" spans="1:6" x14ac:dyDescent="0.2">
      <c r="A493"/>
      <c r="B493"/>
      <c r="C493"/>
      <c r="D493"/>
      <c r="E493"/>
      <c r="F493"/>
    </row>
    <row r="494" spans="1:6" x14ac:dyDescent="0.2">
      <c r="A494"/>
      <c r="B494"/>
      <c r="C494"/>
      <c r="D494"/>
      <c r="E494"/>
      <c r="F494"/>
    </row>
    <row r="495" spans="1:6" x14ac:dyDescent="0.2">
      <c r="A495"/>
      <c r="B495"/>
      <c r="C495"/>
      <c r="D495"/>
      <c r="E495"/>
      <c r="F495"/>
    </row>
    <row r="496" spans="1:6" x14ac:dyDescent="0.2">
      <c r="A496"/>
      <c r="B496"/>
      <c r="C496"/>
      <c r="D496"/>
      <c r="E496"/>
      <c r="F496"/>
    </row>
    <row r="497" spans="1:6" x14ac:dyDescent="0.2">
      <c r="A497"/>
      <c r="B497"/>
      <c r="C497"/>
      <c r="D497"/>
      <c r="E497"/>
      <c r="F497"/>
    </row>
    <row r="498" spans="1:6" x14ac:dyDescent="0.2">
      <c r="A498"/>
      <c r="B498"/>
      <c r="C498"/>
      <c r="D498"/>
      <c r="E498"/>
      <c r="F498"/>
    </row>
    <row r="499" spans="1:6" x14ac:dyDescent="0.2">
      <c r="A499"/>
      <c r="B499"/>
      <c r="C499"/>
      <c r="D499"/>
      <c r="E499"/>
      <c r="F499"/>
    </row>
    <row r="500" spans="1:6" x14ac:dyDescent="0.2">
      <c r="A500"/>
      <c r="B500"/>
      <c r="C500"/>
      <c r="D500"/>
      <c r="E500"/>
      <c r="F500"/>
    </row>
    <row r="501" spans="1:6" x14ac:dyDescent="0.2">
      <c r="A501"/>
      <c r="B501"/>
      <c r="C501"/>
      <c r="D501"/>
      <c r="E501"/>
      <c r="F501"/>
    </row>
    <row r="502" spans="1:6" x14ac:dyDescent="0.2">
      <c r="A502"/>
      <c r="B502"/>
      <c r="C502"/>
      <c r="D502"/>
      <c r="E502"/>
      <c r="F502"/>
    </row>
    <row r="503" spans="1:6" x14ac:dyDescent="0.2">
      <c r="A503"/>
      <c r="B503"/>
      <c r="C503"/>
      <c r="D503"/>
      <c r="E503"/>
      <c r="F503"/>
    </row>
    <row r="504" spans="1:6" x14ac:dyDescent="0.2">
      <c r="A504"/>
      <c r="B504"/>
      <c r="C504"/>
      <c r="D504"/>
      <c r="E504"/>
      <c r="F504"/>
    </row>
    <row r="505" spans="1:6" x14ac:dyDescent="0.2">
      <c r="A505"/>
      <c r="B505"/>
      <c r="C505"/>
      <c r="D505"/>
      <c r="E505"/>
      <c r="F505"/>
    </row>
    <row r="506" spans="1:6" x14ac:dyDescent="0.2">
      <c r="A506"/>
      <c r="B506"/>
      <c r="C506"/>
      <c r="D506"/>
      <c r="E506"/>
      <c r="F506"/>
    </row>
    <row r="507" spans="1:6" x14ac:dyDescent="0.2">
      <c r="A507"/>
      <c r="B507"/>
      <c r="C507"/>
      <c r="D507"/>
      <c r="E507"/>
      <c r="F507"/>
    </row>
    <row r="508" spans="1:6" x14ac:dyDescent="0.2">
      <c r="A508"/>
      <c r="B508"/>
      <c r="C508"/>
      <c r="D508"/>
      <c r="E508"/>
      <c r="F508"/>
    </row>
    <row r="509" spans="1:6" x14ac:dyDescent="0.2">
      <c r="A509"/>
      <c r="B509"/>
      <c r="C509"/>
      <c r="D509"/>
      <c r="E509"/>
      <c r="F509"/>
    </row>
    <row r="510" spans="1:6" x14ac:dyDescent="0.2">
      <c r="A510"/>
      <c r="B510"/>
      <c r="C510"/>
      <c r="D510"/>
      <c r="E510"/>
      <c r="F510"/>
    </row>
    <row r="511" spans="1:6" x14ac:dyDescent="0.2">
      <c r="A511"/>
      <c r="B511"/>
      <c r="C511"/>
      <c r="D511"/>
      <c r="E511"/>
      <c r="F511"/>
    </row>
    <row r="512" spans="1:6" x14ac:dyDescent="0.2">
      <c r="A512"/>
      <c r="B512"/>
      <c r="C512"/>
      <c r="D512"/>
      <c r="E512"/>
      <c r="F512"/>
    </row>
    <row r="513" spans="1:6" x14ac:dyDescent="0.2">
      <c r="A513"/>
      <c r="B513"/>
      <c r="C513"/>
      <c r="D513"/>
      <c r="E513"/>
      <c r="F513"/>
    </row>
    <row r="514" spans="1:6" x14ac:dyDescent="0.2">
      <c r="A514"/>
      <c r="B514"/>
      <c r="C514"/>
      <c r="D514"/>
      <c r="E514"/>
      <c r="F514"/>
    </row>
    <row r="515" spans="1:6" x14ac:dyDescent="0.2">
      <c r="A515"/>
      <c r="B515"/>
      <c r="C515"/>
      <c r="D515"/>
      <c r="E515"/>
      <c r="F515"/>
    </row>
    <row r="516" spans="1:6" x14ac:dyDescent="0.2">
      <c r="A516"/>
      <c r="B516"/>
      <c r="C516"/>
      <c r="D516"/>
      <c r="E516"/>
      <c r="F516"/>
    </row>
    <row r="517" spans="1:6" x14ac:dyDescent="0.2">
      <c r="A517"/>
      <c r="B517"/>
      <c r="C517"/>
      <c r="D517"/>
      <c r="E517"/>
      <c r="F517"/>
    </row>
    <row r="518" spans="1:6" x14ac:dyDescent="0.2">
      <c r="A518"/>
      <c r="B518"/>
      <c r="C518"/>
      <c r="D518"/>
      <c r="E518"/>
      <c r="F518"/>
    </row>
    <row r="519" spans="1:6" x14ac:dyDescent="0.2">
      <c r="A519"/>
      <c r="B519"/>
      <c r="C519"/>
      <c r="D519"/>
      <c r="E519"/>
      <c r="F519"/>
    </row>
    <row r="520" spans="1:6" x14ac:dyDescent="0.2">
      <c r="A520"/>
      <c r="B520"/>
      <c r="C520"/>
      <c r="D520"/>
      <c r="E520"/>
      <c r="F520"/>
    </row>
    <row r="521" spans="1:6" x14ac:dyDescent="0.2">
      <c r="A521"/>
      <c r="B521"/>
      <c r="C521"/>
      <c r="D521"/>
      <c r="E521"/>
      <c r="F521"/>
    </row>
    <row r="522" spans="1:6" x14ac:dyDescent="0.2">
      <c r="A522"/>
      <c r="B522"/>
      <c r="C522"/>
      <c r="D522"/>
      <c r="E522"/>
      <c r="F522"/>
    </row>
    <row r="523" spans="1:6" x14ac:dyDescent="0.2">
      <c r="A523"/>
      <c r="B523"/>
      <c r="C523"/>
      <c r="D523"/>
      <c r="E523"/>
      <c r="F523"/>
    </row>
    <row r="524" spans="1:6" x14ac:dyDescent="0.2">
      <c r="A524"/>
      <c r="B524"/>
      <c r="C524"/>
      <c r="D524"/>
      <c r="E524"/>
      <c r="F524"/>
    </row>
    <row r="525" spans="1:6" x14ac:dyDescent="0.2">
      <c r="A525"/>
      <c r="B525"/>
      <c r="C525"/>
      <c r="D525"/>
      <c r="E525"/>
      <c r="F525"/>
    </row>
    <row r="526" spans="1:6" x14ac:dyDescent="0.2">
      <c r="A526"/>
      <c r="B526"/>
      <c r="C526"/>
      <c r="D526"/>
      <c r="E526"/>
      <c r="F526"/>
    </row>
    <row r="527" spans="1:6" x14ac:dyDescent="0.2">
      <c r="A527"/>
      <c r="B527"/>
      <c r="C527"/>
      <c r="D527"/>
      <c r="E527"/>
      <c r="F527"/>
    </row>
    <row r="528" spans="1:6" x14ac:dyDescent="0.2">
      <c r="A528"/>
      <c r="B528"/>
      <c r="C528"/>
      <c r="D528"/>
      <c r="E528"/>
      <c r="F528"/>
    </row>
    <row r="529" spans="1:6" x14ac:dyDescent="0.2">
      <c r="A529"/>
      <c r="B529"/>
      <c r="C529"/>
      <c r="D529"/>
      <c r="E529"/>
      <c r="F529"/>
    </row>
    <row r="530" spans="1:6" x14ac:dyDescent="0.2">
      <c r="A530"/>
      <c r="B530"/>
      <c r="C530"/>
      <c r="D530"/>
      <c r="E530"/>
      <c r="F530"/>
    </row>
    <row r="531" spans="1:6" x14ac:dyDescent="0.2">
      <c r="A531"/>
      <c r="B531"/>
      <c r="C531"/>
      <c r="D531"/>
      <c r="E531"/>
      <c r="F531"/>
    </row>
    <row r="532" spans="1:6" x14ac:dyDescent="0.2">
      <c r="A532"/>
      <c r="B532"/>
      <c r="C532"/>
      <c r="D532"/>
      <c r="E532"/>
      <c r="F532"/>
    </row>
    <row r="533" spans="1:6" x14ac:dyDescent="0.2">
      <c r="A533"/>
      <c r="B533"/>
      <c r="C533"/>
      <c r="D533"/>
      <c r="E533"/>
      <c r="F533"/>
    </row>
    <row r="534" spans="1:6" x14ac:dyDescent="0.2">
      <c r="A534"/>
      <c r="B534"/>
      <c r="C534"/>
      <c r="D534"/>
      <c r="E534"/>
      <c r="F534"/>
    </row>
    <row r="535" spans="1:6" x14ac:dyDescent="0.2">
      <c r="A535"/>
      <c r="B535"/>
      <c r="C535"/>
      <c r="D535"/>
      <c r="E535"/>
      <c r="F535"/>
    </row>
    <row r="536" spans="1:6" x14ac:dyDescent="0.2">
      <c r="A536"/>
      <c r="B536"/>
      <c r="C536"/>
      <c r="D536"/>
      <c r="E536"/>
      <c r="F536"/>
    </row>
    <row r="537" spans="1:6" x14ac:dyDescent="0.2">
      <c r="A537"/>
      <c r="B537"/>
      <c r="C537"/>
      <c r="D537"/>
      <c r="E537"/>
      <c r="F537"/>
    </row>
    <row r="538" spans="1:6" x14ac:dyDescent="0.2">
      <c r="A538"/>
      <c r="B538"/>
      <c r="C538"/>
      <c r="D538"/>
      <c r="E538"/>
      <c r="F538"/>
    </row>
    <row r="539" spans="1:6" x14ac:dyDescent="0.2">
      <c r="A539"/>
      <c r="B539"/>
      <c r="C539"/>
      <c r="D539"/>
      <c r="E539"/>
      <c r="F539"/>
    </row>
    <row r="540" spans="1:6" x14ac:dyDescent="0.2">
      <c r="A540"/>
      <c r="B540"/>
      <c r="C540"/>
      <c r="D540"/>
      <c r="E540"/>
      <c r="F540"/>
    </row>
    <row r="541" spans="1:6" x14ac:dyDescent="0.2">
      <c r="A541"/>
      <c r="B541"/>
      <c r="C541"/>
      <c r="D541"/>
      <c r="E541"/>
      <c r="F541"/>
    </row>
    <row r="542" spans="1:6" x14ac:dyDescent="0.2">
      <c r="A542"/>
      <c r="B542"/>
      <c r="C542"/>
      <c r="D542"/>
      <c r="E542"/>
      <c r="F542"/>
    </row>
    <row r="543" spans="1:6" x14ac:dyDescent="0.2">
      <c r="A543"/>
      <c r="B543"/>
      <c r="C543"/>
      <c r="D543"/>
      <c r="E543"/>
      <c r="F543"/>
    </row>
    <row r="544" spans="1:6" x14ac:dyDescent="0.2">
      <c r="A544"/>
      <c r="B544"/>
      <c r="C544"/>
      <c r="D544"/>
      <c r="E544"/>
      <c r="F544"/>
    </row>
    <row r="545" spans="1:6" x14ac:dyDescent="0.2">
      <c r="A545"/>
      <c r="B545"/>
      <c r="C545"/>
      <c r="D545"/>
      <c r="E545"/>
      <c r="F545"/>
    </row>
    <row r="546" spans="1:6" x14ac:dyDescent="0.2">
      <c r="A546"/>
      <c r="B546"/>
      <c r="C546"/>
      <c r="D546"/>
      <c r="E546"/>
      <c r="F546"/>
    </row>
    <row r="547" spans="1:6" x14ac:dyDescent="0.2">
      <c r="A547"/>
      <c r="B547"/>
      <c r="C547"/>
      <c r="D547"/>
      <c r="E547"/>
      <c r="F547"/>
    </row>
    <row r="548" spans="1:6" x14ac:dyDescent="0.2">
      <c r="A548"/>
      <c r="B548"/>
      <c r="C548"/>
      <c r="D548"/>
      <c r="E548"/>
      <c r="F548"/>
    </row>
    <row r="549" spans="1:6" x14ac:dyDescent="0.2">
      <c r="A549"/>
      <c r="B549"/>
      <c r="C549"/>
      <c r="D549"/>
      <c r="E549"/>
      <c r="F549"/>
    </row>
    <row r="550" spans="1:6" x14ac:dyDescent="0.2">
      <c r="A550"/>
      <c r="B550"/>
      <c r="C550"/>
      <c r="D550"/>
      <c r="E550"/>
      <c r="F550"/>
    </row>
    <row r="551" spans="1:6" x14ac:dyDescent="0.2">
      <c r="A551"/>
      <c r="B551"/>
      <c r="C551"/>
      <c r="D551"/>
      <c r="E551"/>
      <c r="F551"/>
    </row>
    <row r="552" spans="1:6" x14ac:dyDescent="0.2">
      <c r="A552"/>
      <c r="B552"/>
      <c r="C552"/>
      <c r="D552"/>
      <c r="E552"/>
      <c r="F552"/>
    </row>
    <row r="553" spans="1:6" x14ac:dyDescent="0.2">
      <c r="A553"/>
      <c r="B553"/>
      <c r="C553"/>
      <c r="D553"/>
      <c r="E553"/>
      <c r="F553"/>
    </row>
    <row r="554" spans="1:6" x14ac:dyDescent="0.2">
      <c r="A554"/>
      <c r="B554"/>
      <c r="C554"/>
      <c r="D554"/>
      <c r="E554"/>
      <c r="F554"/>
    </row>
    <row r="555" spans="1:6" x14ac:dyDescent="0.2">
      <c r="A555"/>
      <c r="B555"/>
      <c r="C555"/>
      <c r="D555"/>
      <c r="E555"/>
      <c r="F555"/>
    </row>
    <row r="556" spans="1:6" x14ac:dyDescent="0.2">
      <c r="A556"/>
      <c r="B556"/>
      <c r="C556"/>
      <c r="D556"/>
      <c r="E556"/>
      <c r="F556"/>
    </row>
    <row r="557" spans="1:6" x14ac:dyDescent="0.2">
      <c r="A557"/>
      <c r="B557"/>
      <c r="C557"/>
      <c r="D557"/>
      <c r="E557"/>
      <c r="F557"/>
    </row>
    <row r="558" spans="1:6" x14ac:dyDescent="0.2">
      <c r="A558"/>
      <c r="B558"/>
      <c r="C558"/>
      <c r="D558"/>
      <c r="E558"/>
      <c r="F558"/>
    </row>
    <row r="559" spans="1:6" x14ac:dyDescent="0.2">
      <c r="A559"/>
      <c r="B559"/>
      <c r="C559"/>
      <c r="D559"/>
      <c r="E559"/>
      <c r="F559"/>
    </row>
    <row r="560" spans="1:6" x14ac:dyDescent="0.2">
      <c r="A560"/>
      <c r="B560"/>
      <c r="C560"/>
      <c r="D560"/>
      <c r="E560"/>
      <c r="F560"/>
    </row>
    <row r="561" spans="1:6" x14ac:dyDescent="0.2">
      <c r="A561"/>
      <c r="B561"/>
      <c r="C561"/>
      <c r="D561"/>
      <c r="E561"/>
      <c r="F561"/>
    </row>
    <row r="562" spans="1:6" x14ac:dyDescent="0.2">
      <c r="A562"/>
      <c r="B562"/>
      <c r="C562"/>
      <c r="D562"/>
      <c r="E562"/>
      <c r="F562"/>
    </row>
    <row r="563" spans="1:6" x14ac:dyDescent="0.2">
      <c r="A563"/>
      <c r="B563"/>
      <c r="C563"/>
      <c r="D563"/>
      <c r="E563"/>
      <c r="F563"/>
    </row>
    <row r="564" spans="1:6" x14ac:dyDescent="0.2">
      <c r="A564"/>
      <c r="B564"/>
      <c r="C564"/>
      <c r="D564"/>
      <c r="E564"/>
      <c r="F564"/>
    </row>
    <row r="565" spans="1:6" x14ac:dyDescent="0.2">
      <c r="A565"/>
      <c r="B565"/>
      <c r="C565"/>
      <c r="D565"/>
      <c r="E565"/>
      <c r="F565"/>
    </row>
    <row r="566" spans="1:6" x14ac:dyDescent="0.2">
      <c r="A566"/>
      <c r="B566"/>
      <c r="C566"/>
      <c r="D566"/>
      <c r="E566"/>
      <c r="F566"/>
    </row>
    <row r="567" spans="1:6" x14ac:dyDescent="0.2">
      <c r="A567"/>
      <c r="B567"/>
      <c r="C567"/>
      <c r="D567"/>
      <c r="E567"/>
      <c r="F567"/>
    </row>
    <row r="568" spans="1:6" x14ac:dyDescent="0.2">
      <c r="A568"/>
      <c r="B568"/>
      <c r="C568"/>
      <c r="D568"/>
      <c r="E568"/>
      <c r="F568"/>
    </row>
    <row r="569" spans="1:6" x14ac:dyDescent="0.2">
      <c r="A569"/>
      <c r="B569"/>
      <c r="C569"/>
      <c r="D569"/>
      <c r="E569"/>
      <c r="F569"/>
    </row>
    <row r="570" spans="1:6" x14ac:dyDescent="0.2">
      <c r="A570"/>
      <c r="B570"/>
      <c r="C570"/>
      <c r="D570"/>
      <c r="E570"/>
      <c r="F570"/>
    </row>
    <row r="571" spans="1:6" x14ac:dyDescent="0.2">
      <c r="A571"/>
      <c r="B571"/>
      <c r="C571"/>
      <c r="D571"/>
      <c r="E571"/>
      <c r="F571"/>
    </row>
    <row r="572" spans="1:6" x14ac:dyDescent="0.2">
      <c r="A572"/>
      <c r="B572"/>
      <c r="C572"/>
      <c r="D572"/>
      <c r="E572"/>
      <c r="F572"/>
    </row>
    <row r="573" spans="1:6" x14ac:dyDescent="0.2">
      <c r="A573"/>
      <c r="B573"/>
      <c r="C573"/>
      <c r="D573"/>
      <c r="E573"/>
      <c r="F573"/>
    </row>
    <row r="574" spans="1:6" x14ac:dyDescent="0.2">
      <c r="A574"/>
      <c r="B574"/>
      <c r="C574"/>
      <c r="D574"/>
      <c r="E574"/>
      <c r="F574"/>
    </row>
    <row r="575" spans="1:6" x14ac:dyDescent="0.2">
      <c r="A575"/>
      <c r="B575"/>
      <c r="C575"/>
      <c r="D575"/>
      <c r="E575"/>
      <c r="F575"/>
    </row>
    <row r="576" spans="1:6" x14ac:dyDescent="0.2">
      <c r="A576"/>
      <c r="B576"/>
      <c r="C576"/>
      <c r="D576"/>
      <c r="E576"/>
      <c r="F576"/>
    </row>
    <row r="577" spans="1:6" x14ac:dyDescent="0.2">
      <c r="A577"/>
      <c r="B577"/>
      <c r="C577"/>
      <c r="D577"/>
      <c r="E577"/>
      <c r="F577"/>
    </row>
    <row r="578" spans="1:6" x14ac:dyDescent="0.2">
      <c r="A578"/>
      <c r="B578"/>
      <c r="C578"/>
      <c r="D578"/>
      <c r="E578"/>
      <c r="F578"/>
    </row>
    <row r="579" spans="1:6" x14ac:dyDescent="0.2">
      <c r="A579"/>
      <c r="B579"/>
      <c r="C579"/>
      <c r="D579"/>
      <c r="E579"/>
      <c r="F579"/>
    </row>
    <row r="580" spans="1:6" x14ac:dyDescent="0.2">
      <c r="A580"/>
      <c r="B580"/>
      <c r="C580"/>
      <c r="D580"/>
      <c r="E580"/>
      <c r="F580"/>
    </row>
    <row r="581" spans="1:6" x14ac:dyDescent="0.2">
      <c r="A581"/>
      <c r="B581"/>
      <c r="C581"/>
      <c r="D581"/>
      <c r="E581"/>
      <c r="F581"/>
    </row>
    <row r="582" spans="1:6" x14ac:dyDescent="0.2">
      <c r="A582"/>
      <c r="B582"/>
      <c r="C582"/>
      <c r="D582"/>
      <c r="E582"/>
      <c r="F582"/>
    </row>
    <row r="583" spans="1:6" x14ac:dyDescent="0.2">
      <c r="A583"/>
      <c r="B583"/>
      <c r="C583"/>
      <c r="D583"/>
      <c r="E583"/>
      <c r="F583"/>
    </row>
    <row r="584" spans="1:6" x14ac:dyDescent="0.2">
      <c r="A584"/>
      <c r="B584"/>
      <c r="C584"/>
      <c r="D584"/>
      <c r="E584"/>
      <c r="F584"/>
    </row>
    <row r="585" spans="1:6" x14ac:dyDescent="0.2">
      <c r="A585"/>
      <c r="B585"/>
      <c r="C585"/>
      <c r="D585"/>
      <c r="E585"/>
      <c r="F585"/>
    </row>
    <row r="586" spans="1:6" x14ac:dyDescent="0.2">
      <c r="A586"/>
      <c r="B586"/>
      <c r="C586"/>
      <c r="D586"/>
      <c r="E586"/>
      <c r="F586"/>
    </row>
    <row r="587" spans="1:6" x14ac:dyDescent="0.2">
      <c r="A587"/>
      <c r="B587"/>
      <c r="C587"/>
      <c r="D587"/>
      <c r="E587"/>
      <c r="F587"/>
    </row>
    <row r="588" spans="1:6" x14ac:dyDescent="0.2">
      <c r="A588"/>
      <c r="B588"/>
      <c r="C588"/>
      <c r="D588"/>
      <c r="E588"/>
      <c r="F588"/>
    </row>
    <row r="589" spans="1:6" x14ac:dyDescent="0.2">
      <c r="A589"/>
      <c r="B589"/>
      <c r="C589"/>
      <c r="D589"/>
      <c r="E589"/>
      <c r="F589"/>
    </row>
    <row r="590" spans="1:6" x14ac:dyDescent="0.2">
      <c r="A590"/>
      <c r="B590"/>
      <c r="C590"/>
      <c r="D590"/>
      <c r="E590"/>
      <c r="F590"/>
    </row>
    <row r="591" spans="1:6" x14ac:dyDescent="0.2">
      <c r="A591"/>
      <c r="B591"/>
      <c r="C591"/>
      <c r="D591"/>
      <c r="E591"/>
      <c r="F591"/>
    </row>
    <row r="592" spans="1:6" x14ac:dyDescent="0.2">
      <c r="A592"/>
      <c r="B592"/>
      <c r="C592"/>
      <c r="D592"/>
      <c r="E592"/>
      <c r="F592"/>
    </row>
    <row r="593" spans="1:6" x14ac:dyDescent="0.2">
      <c r="A593"/>
      <c r="B593"/>
      <c r="C593"/>
      <c r="D593"/>
      <c r="E593"/>
      <c r="F593"/>
    </row>
    <row r="594" spans="1:6" x14ac:dyDescent="0.2">
      <c r="A594"/>
      <c r="B594"/>
      <c r="C594"/>
      <c r="D594"/>
      <c r="E594"/>
      <c r="F594"/>
    </row>
    <row r="595" spans="1:6" x14ac:dyDescent="0.2">
      <c r="A595"/>
      <c r="B595"/>
      <c r="C595"/>
      <c r="D595"/>
      <c r="E595"/>
      <c r="F595"/>
    </row>
    <row r="596" spans="1:6" x14ac:dyDescent="0.2">
      <c r="A596"/>
      <c r="B596"/>
      <c r="C596"/>
      <c r="D596"/>
      <c r="E596"/>
      <c r="F596"/>
    </row>
    <row r="597" spans="1:6" x14ac:dyDescent="0.2">
      <c r="A597"/>
      <c r="B597"/>
      <c r="C597"/>
      <c r="D597"/>
      <c r="E597"/>
      <c r="F597"/>
    </row>
    <row r="598" spans="1:6" x14ac:dyDescent="0.2">
      <c r="A598"/>
      <c r="B598"/>
      <c r="C598"/>
      <c r="D598"/>
      <c r="E598"/>
      <c r="F598"/>
    </row>
    <row r="599" spans="1:6" x14ac:dyDescent="0.2">
      <c r="A599"/>
      <c r="B599"/>
      <c r="C599"/>
      <c r="D599"/>
      <c r="E599"/>
      <c r="F599"/>
    </row>
    <row r="600" spans="1:6" x14ac:dyDescent="0.2">
      <c r="A600"/>
      <c r="B600"/>
      <c r="C600"/>
      <c r="D600"/>
      <c r="E600"/>
      <c r="F600"/>
    </row>
    <row r="601" spans="1:6" x14ac:dyDescent="0.2">
      <c r="A601"/>
      <c r="B601"/>
      <c r="C601"/>
      <c r="D601"/>
      <c r="E601"/>
      <c r="F601"/>
    </row>
    <row r="602" spans="1:6" x14ac:dyDescent="0.2">
      <c r="A602"/>
      <c r="B602"/>
      <c r="C602"/>
      <c r="D602"/>
      <c r="E602"/>
      <c r="F602"/>
    </row>
    <row r="603" spans="1:6" x14ac:dyDescent="0.2">
      <c r="A603"/>
      <c r="B603"/>
      <c r="C603"/>
      <c r="D603"/>
      <c r="E603"/>
      <c r="F603"/>
    </row>
    <row r="604" spans="1:6" x14ac:dyDescent="0.2">
      <c r="A604"/>
      <c r="B604"/>
      <c r="C604"/>
      <c r="D604"/>
      <c r="E604"/>
      <c r="F604"/>
    </row>
    <row r="605" spans="1:6" x14ac:dyDescent="0.2">
      <c r="A605"/>
      <c r="B605"/>
      <c r="C605"/>
      <c r="D605"/>
      <c r="E605"/>
      <c r="F605"/>
    </row>
    <row r="606" spans="1:6" x14ac:dyDescent="0.2">
      <c r="A606"/>
      <c r="B606"/>
      <c r="C606"/>
      <c r="D606"/>
      <c r="E606"/>
      <c r="F606"/>
    </row>
    <row r="607" spans="1:6" x14ac:dyDescent="0.2">
      <c r="A607"/>
      <c r="B607"/>
      <c r="C607"/>
      <c r="D607"/>
      <c r="E607"/>
      <c r="F607"/>
    </row>
    <row r="608" spans="1:6" x14ac:dyDescent="0.2">
      <c r="A608"/>
      <c r="B608"/>
      <c r="C608"/>
      <c r="D608"/>
      <c r="E608"/>
      <c r="F608"/>
    </row>
    <row r="609" spans="1:6" x14ac:dyDescent="0.2">
      <c r="A609"/>
      <c r="B609"/>
      <c r="C609"/>
      <c r="D609"/>
      <c r="E609"/>
      <c r="F609"/>
    </row>
    <row r="610" spans="1:6" x14ac:dyDescent="0.2">
      <c r="A610"/>
      <c r="B610"/>
      <c r="C610"/>
      <c r="D610"/>
      <c r="E610"/>
      <c r="F610"/>
    </row>
    <row r="611" spans="1:6" x14ac:dyDescent="0.2">
      <c r="A611"/>
      <c r="B611"/>
      <c r="C611"/>
      <c r="D611"/>
      <c r="E611"/>
      <c r="F611"/>
    </row>
    <row r="612" spans="1:6" x14ac:dyDescent="0.2">
      <c r="A612"/>
      <c r="B612"/>
      <c r="C612"/>
      <c r="D612"/>
      <c r="E612"/>
      <c r="F612"/>
    </row>
    <row r="613" spans="1:6" x14ac:dyDescent="0.2">
      <c r="A613"/>
      <c r="B613"/>
      <c r="C613"/>
      <c r="D613"/>
      <c r="E613"/>
      <c r="F613"/>
    </row>
    <row r="614" spans="1:6" x14ac:dyDescent="0.2">
      <c r="A614"/>
      <c r="B614"/>
      <c r="C614"/>
      <c r="D614"/>
      <c r="E614"/>
      <c r="F614"/>
    </row>
    <row r="615" spans="1:6" x14ac:dyDescent="0.2">
      <c r="A615"/>
      <c r="B615"/>
      <c r="C615"/>
      <c r="D615"/>
      <c r="E615"/>
      <c r="F615"/>
    </row>
    <row r="616" spans="1:6" x14ac:dyDescent="0.2">
      <c r="A616"/>
      <c r="B616"/>
      <c r="C616"/>
      <c r="D616"/>
      <c r="E616"/>
      <c r="F616"/>
    </row>
    <row r="617" spans="1:6" x14ac:dyDescent="0.2">
      <c r="A617"/>
      <c r="B617"/>
      <c r="C617"/>
      <c r="D617"/>
      <c r="E617"/>
      <c r="F617"/>
    </row>
    <row r="618" spans="1:6" x14ac:dyDescent="0.2">
      <c r="A618"/>
      <c r="B618"/>
      <c r="C618"/>
      <c r="D618"/>
      <c r="E618"/>
      <c r="F618"/>
    </row>
    <row r="619" spans="1:6" x14ac:dyDescent="0.2">
      <c r="A619"/>
      <c r="B619"/>
      <c r="C619"/>
      <c r="D619"/>
      <c r="E619"/>
      <c r="F619"/>
    </row>
    <row r="620" spans="1:6" x14ac:dyDescent="0.2">
      <c r="A620"/>
      <c r="B620"/>
      <c r="C620"/>
      <c r="D620"/>
      <c r="E620"/>
      <c r="F620"/>
    </row>
    <row r="621" spans="1:6" x14ac:dyDescent="0.2">
      <c r="A621"/>
      <c r="B621"/>
      <c r="C621"/>
      <c r="D621"/>
      <c r="E621"/>
      <c r="F621"/>
    </row>
    <row r="622" spans="1:6" x14ac:dyDescent="0.2">
      <c r="A622"/>
      <c r="B622"/>
      <c r="C622"/>
      <c r="D622"/>
      <c r="E622"/>
      <c r="F622"/>
    </row>
    <row r="623" spans="1:6" x14ac:dyDescent="0.2">
      <c r="A623"/>
      <c r="B623"/>
      <c r="C623"/>
      <c r="D623"/>
      <c r="E623"/>
      <c r="F623"/>
    </row>
    <row r="624" spans="1:6" x14ac:dyDescent="0.2">
      <c r="A624"/>
      <c r="B624"/>
      <c r="C624"/>
      <c r="D624"/>
      <c r="E624"/>
      <c r="F624"/>
    </row>
    <row r="625" spans="1:6" x14ac:dyDescent="0.2">
      <c r="A625"/>
      <c r="B625"/>
      <c r="C625"/>
      <c r="D625"/>
      <c r="E625"/>
      <c r="F625"/>
    </row>
    <row r="626" spans="1:6" x14ac:dyDescent="0.2">
      <c r="A626"/>
      <c r="B626"/>
      <c r="C626"/>
      <c r="D626"/>
      <c r="E626"/>
      <c r="F626"/>
    </row>
    <row r="627" spans="1:6" x14ac:dyDescent="0.2">
      <c r="A627"/>
      <c r="B627"/>
      <c r="C627"/>
      <c r="D627"/>
      <c r="E627"/>
      <c r="F627"/>
    </row>
    <row r="628" spans="1:6" x14ac:dyDescent="0.2">
      <c r="A628"/>
      <c r="B628"/>
      <c r="C628"/>
      <c r="D628"/>
      <c r="E628"/>
      <c r="F628"/>
    </row>
    <row r="629" spans="1:6" x14ac:dyDescent="0.2">
      <c r="A629"/>
      <c r="B629"/>
      <c r="C629"/>
      <c r="D629"/>
      <c r="E629"/>
      <c r="F629"/>
    </row>
    <row r="630" spans="1:6" x14ac:dyDescent="0.2">
      <c r="A630"/>
      <c r="B630"/>
      <c r="C630"/>
      <c r="D630"/>
      <c r="E630"/>
      <c r="F630"/>
    </row>
    <row r="631" spans="1:6" x14ac:dyDescent="0.2">
      <c r="A631"/>
      <c r="B631"/>
      <c r="C631"/>
      <c r="D631"/>
      <c r="E631"/>
      <c r="F631"/>
    </row>
    <row r="632" spans="1:6" x14ac:dyDescent="0.2">
      <c r="A632"/>
      <c r="B632"/>
      <c r="C632"/>
      <c r="D632"/>
      <c r="E632"/>
      <c r="F632"/>
    </row>
    <row r="633" spans="1:6" x14ac:dyDescent="0.2">
      <c r="A633"/>
      <c r="B633"/>
      <c r="C633"/>
      <c r="D633"/>
      <c r="E633"/>
      <c r="F633"/>
    </row>
    <row r="634" spans="1:6" x14ac:dyDescent="0.2">
      <c r="A634"/>
      <c r="B634"/>
      <c r="C634"/>
      <c r="D634"/>
      <c r="E634"/>
      <c r="F634"/>
    </row>
    <row r="635" spans="1:6" x14ac:dyDescent="0.2">
      <c r="A635"/>
      <c r="B635"/>
      <c r="C635"/>
      <c r="D635"/>
      <c r="E635"/>
      <c r="F635"/>
    </row>
    <row r="636" spans="1:6" x14ac:dyDescent="0.2">
      <c r="A636"/>
      <c r="B636"/>
      <c r="C636"/>
      <c r="D636"/>
      <c r="E636"/>
      <c r="F636"/>
    </row>
    <row r="637" spans="1:6" x14ac:dyDescent="0.2">
      <c r="A637"/>
      <c r="B637"/>
      <c r="C637"/>
      <c r="D637"/>
      <c r="E637"/>
      <c r="F637"/>
    </row>
    <row r="638" spans="1:6" x14ac:dyDescent="0.2">
      <c r="A638"/>
      <c r="B638"/>
      <c r="C638"/>
      <c r="D638"/>
      <c r="E638"/>
      <c r="F638"/>
    </row>
    <row r="639" spans="1:6" x14ac:dyDescent="0.2">
      <c r="A639"/>
      <c r="B639"/>
      <c r="C639"/>
      <c r="D639"/>
      <c r="E639"/>
      <c r="F639"/>
    </row>
    <row r="640" spans="1:6" x14ac:dyDescent="0.2">
      <c r="A640"/>
      <c r="B640"/>
      <c r="C640"/>
      <c r="D640"/>
      <c r="E640"/>
      <c r="F640"/>
    </row>
    <row r="641" spans="1:6" x14ac:dyDescent="0.2">
      <c r="A641"/>
      <c r="B641"/>
      <c r="C641"/>
      <c r="D641"/>
      <c r="E641"/>
      <c r="F641"/>
    </row>
    <row r="642" spans="1:6" x14ac:dyDescent="0.2">
      <c r="A642"/>
      <c r="B642"/>
      <c r="C642"/>
      <c r="D642"/>
      <c r="E642"/>
      <c r="F642"/>
    </row>
    <row r="643" spans="1:6" x14ac:dyDescent="0.2">
      <c r="A643"/>
      <c r="B643"/>
      <c r="C643"/>
      <c r="D643"/>
      <c r="E643"/>
      <c r="F643"/>
    </row>
    <row r="644" spans="1:6" x14ac:dyDescent="0.2">
      <c r="A644"/>
      <c r="B644"/>
      <c r="C644"/>
      <c r="D644"/>
      <c r="E644"/>
      <c r="F644"/>
    </row>
    <row r="645" spans="1:6" x14ac:dyDescent="0.2">
      <c r="A645"/>
      <c r="B645"/>
      <c r="C645"/>
      <c r="D645"/>
      <c r="E645"/>
      <c r="F645"/>
    </row>
    <row r="646" spans="1:6" x14ac:dyDescent="0.2">
      <c r="A646"/>
      <c r="B646"/>
      <c r="C646"/>
      <c r="D646"/>
      <c r="E646"/>
      <c r="F646"/>
    </row>
    <row r="647" spans="1:6" x14ac:dyDescent="0.2">
      <c r="A647"/>
      <c r="B647"/>
      <c r="C647"/>
      <c r="D647"/>
      <c r="E647"/>
      <c r="F647"/>
    </row>
    <row r="648" spans="1:6" x14ac:dyDescent="0.2">
      <c r="A648"/>
      <c r="B648"/>
      <c r="C648"/>
      <c r="D648"/>
      <c r="E648"/>
      <c r="F648"/>
    </row>
    <row r="649" spans="1:6" x14ac:dyDescent="0.2">
      <c r="A649"/>
      <c r="B649"/>
      <c r="C649"/>
      <c r="D649"/>
      <c r="E649"/>
      <c r="F649"/>
    </row>
    <row r="650" spans="1:6" x14ac:dyDescent="0.2">
      <c r="A650"/>
      <c r="B650"/>
      <c r="C650"/>
      <c r="D650"/>
      <c r="E650"/>
      <c r="F650"/>
    </row>
    <row r="651" spans="1:6" x14ac:dyDescent="0.2">
      <c r="A651"/>
      <c r="B651"/>
      <c r="C651"/>
      <c r="D651"/>
      <c r="E651"/>
      <c r="F651"/>
    </row>
    <row r="652" spans="1:6" x14ac:dyDescent="0.2">
      <c r="A652"/>
      <c r="B652"/>
      <c r="C652"/>
      <c r="D652"/>
      <c r="E652"/>
      <c r="F652"/>
    </row>
    <row r="653" spans="1:6" x14ac:dyDescent="0.2">
      <c r="A653"/>
      <c r="B653"/>
      <c r="C653"/>
      <c r="D653"/>
      <c r="E653"/>
      <c r="F653"/>
    </row>
    <row r="654" spans="1:6" x14ac:dyDescent="0.2">
      <c r="A654"/>
      <c r="B654"/>
      <c r="C654"/>
      <c r="D654"/>
      <c r="E654"/>
      <c r="F654"/>
    </row>
    <row r="655" spans="1:6" x14ac:dyDescent="0.2">
      <c r="A655"/>
      <c r="B655"/>
      <c r="C655"/>
      <c r="D655"/>
      <c r="E655"/>
      <c r="F655"/>
    </row>
    <row r="656" spans="1:6" x14ac:dyDescent="0.2">
      <c r="A656"/>
      <c r="B656"/>
      <c r="C656"/>
      <c r="D656"/>
      <c r="E656"/>
      <c r="F656"/>
    </row>
    <row r="657" spans="1:6" x14ac:dyDescent="0.2">
      <c r="A657"/>
      <c r="B657"/>
      <c r="C657"/>
      <c r="D657"/>
      <c r="E657"/>
      <c r="F657"/>
    </row>
    <row r="658" spans="1:6" x14ac:dyDescent="0.2">
      <c r="A658"/>
      <c r="B658"/>
      <c r="C658"/>
      <c r="D658"/>
      <c r="E658"/>
      <c r="F658"/>
    </row>
    <row r="659" spans="1:6" x14ac:dyDescent="0.2">
      <c r="A659"/>
      <c r="B659"/>
      <c r="C659"/>
      <c r="D659"/>
      <c r="E659"/>
      <c r="F659"/>
    </row>
    <row r="660" spans="1:6" x14ac:dyDescent="0.2">
      <c r="A660"/>
      <c r="B660"/>
      <c r="C660"/>
      <c r="D660"/>
      <c r="E660"/>
      <c r="F660"/>
    </row>
    <row r="661" spans="1:6" x14ac:dyDescent="0.2">
      <c r="A661"/>
      <c r="B661"/>
      <c r="C661"/>
      <c r="D661"/>
      <c r="E661"/>
      <c r="F661"/>
    </row>
    <row r="662" spans="1:6" x14ac:dyDescent="0.2">
      <c r="A662"/>
      <c r="B662"/>
      <c r="C662"/>
      <c r="D662"/>
      <c r="E662"/>
      <c r="F662"/>
    </row>
    <row r="663" spans="1:6" x14ac:dyDescent="0.2">
      <c r="A663"/>
      <c r="B663"/>
      <c r="C663"/>
      <c r="D663"/>
      <c r="E663"/>
      <c r="F663"/>
    </row>
    <row r="664" spans="1:6" x14ac:dyDescent="0.2">
      <c r="A664"/>
      <c r="B664"/>
      <c r="C664"/>
      <c r="D664"/>
      <c r="E664"/>
      <c r="F664"/>
    </row>
    <row r="665" spans="1:6" x14ac:dyDescent="0.2">
      <c r="A665"/>
      <c r="B665"/>
      <c r="C665"/>
      <c r="D665"/>
      <c r="E665"/>
      <c r="F665"/>
    </row>
    <row r="666" spans="1:6" x14ac:dyDescent="0.2">
      <c r="A666"/>
      <c r="B666"/>
      <c r="C666"/>
      <c r="D666"/>
      <c r="E666"/>
      <c r="F666"/>
    </row>
    <row r="667" spans="1:6" x14ac:dyDescent="0.2">
      <c r="A667"/>
      <c r="B667"/>
      <c r="C667"/>
      <c r="D667"/>
      <c r="E667"/>
      <c r="F667"/>
    </row>
    <row r="668" spans="1:6" x14ac:dyDescent="0.2">
      <c r="A668"/>
      <c r="B668"/>
      <c r="C668"/>
      <c r="D668"/>
      <c r="E668"/>
      <c r="F668"/>
    </row>
    <row r="669" spans="1:6" x14ac:dyDescent="0.2">
      <c r="A669"/>
      <c r="B669"/>
      <c r="C669"/>
      <c r="D669"/>
      <c r="E669"/>
      <c r="F669"/>
    </row>
    <row r="670" spans="1:6" x14ac:dyDescent="0.2">
      <c r="A670"/>
      <c r="B670"/>
      <c r="C670"/>
      <c r="D670"/>
      <c r="E670"/>
      <c r="F670"/>
    </row>
    <row r="671" spans="1:6" x14ac:dyDescent="0.2">
      <c r="A671"/>
      <c r="B671"/>
      <c r="C671"/>
      <c r="D671"/>
      <c r="E671"/>
      <c r="F671"/>
    </row>
    <row r="672" spans="1:6" x14ac:dyDescent="0.2">
      <c r="A672"/>
      <c r="B672"/>
      <c r="C672"/>
      <c r="D672"/>
      <c r="E672"/>
      <c r="F672"/>
    </row>
    <row r="673" spans="1:6" x14ac:dyDescent="0.2">
      <c r="A673"/>
      <c r="B673"/>
      <c r="C673"/>
      <c r="D673"/>
      <c r="E673"/>
      <c r="F673"/>
    </row>
    <row r="674" spans="1:6" x14ac:dyDescent="0.2">
      <c r="A674"/>
      <c r="B674"/>
      <c r="C674"/>
      <c r="D674"/>
      <c r="E674"/>
      <c r="F674"/>
    </row>
    <row r="675" spans="1:6" x14ac:dyDescent="0.2">
      <c r="A675"/>
      <c r="B675"/>
      <c r="C675"/>
      <c r="D675"/>
      <c r="E675"/>
      <c r="F675"/>
    </row>
    <row r="676" spans="1:6" x14ac:dyDescent="0.2">
      <c r="A676"/>
      <c r="B676"/>
      <c r="C676"/>
      <c r="D676"/>
      <c r="E676"/>
      <c r="F676"/>
    </row>
    <row r="677" spans="1:6" x14ac:dyDescent="0.2">
      <c r="A677"/>
      <c r="B677"/>
      <c r="C677"/>
      <c r="D677"/>
      <c r="E677"/>
      <c r="F677"/>
    </row>
    <row r="678" spans="1:6" x14ac:dyDescent="0.2">
      <c r="A678"/>
      <c r="B678"/>
      <c r="C678"/>
      <c r="D678"/>
      <c r="E678"/>
      <c r="F678"/>
    </row>
    <row r="679" spans="1:6" x14ac:dyDescent="0.2">
      <c r="A679"/>
      <c r="B679"/>
      <c r="C679"/>
      <c r="D679"/>
      <c r="E679"/>
      <c r="F679"/>
    </row>
    <row r="680" spans="1:6" x14ac:dyDescent="0.2">
      <c r="A680"/>
      <c r="B680"/>
      <c r="C680"/>
      <c r="D680"/>
      <c r="E680"/>
      <c r="F680"/>
    </row>
    <row r="681" spans="1:6" x14ac:dyDescent="0.2">
      <c r="A681"/>
      <c r="B681"/>
      <c r="C681"/>
      <c r="D681"/>
      <c r="E681"/>
      <c r="F681"/>
    </row>
    <row r="682" spans="1:6" x14ac:dyDescent="0.2">
      <c r="A682"/>
      <c r="B682"/>
      <c r="C682"/>
      <c r="D682"/>
      <c r="E682"/>
      <c r="F682"/>
    </row>
    <row r="683" spans="1:6" x14ac:dyDescent="0.2">
      <c r="A683"/>
      <c r="B683"/>
      <c r="C683"/>
      <c r="D683"/>
      <c r="E683"/>
      <c r="F683"/>
    </row>
    <row r="684" spans="1:6" x14ac:dyDescent="0.2">
      <c r="A684"/>
      <c r="B684"/>
      <c r="C684"/>
      <c r="D684"/>
      <c r="E684"/>
      <c r="F684"/>
    </row>
    <row r="685" spans="1:6" x14ac:dyDescent="0.2">
      <c r="A685"/>
      <c r="B685"/>
      <c r="C685"/>
      <c r="D685"/>
      <c r="E685"/>
      <c r="F685"/>
    </row>
    <row r="686" spans="1:6" x14ac:dyDescent="0.2">
      <c r="A686"/>
      <c r="B686"/>
      <c r="C686"/>
      <c r="D686"/>
      <c r="E686"/>
      <c r="F686"/>
    </row>
    <row r="687" spans="1:6" x14ac:dyDescent="0.2">
      <c r="A687"/>
      <c r="B687"/>
      <c r="C687"/>
      <c r="D687"/>
      <c r="E687"/>
      <c r="F687"/>
    </row>
    <row r="688" spans="1:6" x14ac:dyDescent="0.2">
      <c r="A688"/>
      <c r="B688"/>
      <c r="C688"/>
      <c r="D688"/>
      <c r="E688"/>
      <c r="F688"/>
    </row>
    <row r="689" spans="1:6" x14ac:dyDescent="0.2">
      <c r="A689"/>
      <c r="B689"/>
      <c r="C689"/>
      <c r="D689"/>
      <c r="E689"/>
      <c r="F689"/>
    </row>
    <row r="690" spans="1:6" x14ac:dyDescent="0.2">
      <c r="A690"/>
      <c r="B690"/>
      <c r="C690"/>
      <c r="D690"/>
      <c r="E690"/>
      <c r="F690"/>
    </row>
    <row r="691" spans="1:6" x14ac:dyDescent="0.2">
      <c r="A691"/>
      <c r="B691"/>
      <c r="C691"/>
      <c r="D691"/>
      <c r="E691"/>
      <c r="F691"/>
    </row>
    <row r="692" spans="1:6" x14ac:dyDescent="0.2">
      <c r="A692"/>
      <c r="B692"/>
      <c r="C692"/>
      <c r="D692"/>
      <c r="E692"/>
      <c r="F692"/>
    </row>
    <row r="693" spans="1:6" x14ac:dyDescent="0.2">
      <c r="A693"/>
      <c r="B693"/>
      <c r="C693"/>
      <c r="D693"/>
      <c r="E693"/>
      <c r="F693"/>
    </row>
    <row r="694" spans="1:6" x14ac:dyDescent="0.2">
      <c r="A694"/>
      <c r="B694"/>
      <c r="C694"/>
      <c r="D694"/>
      <c r="E694"/>
      <c r="F694"/>
    </row>
    <row r="695" spans="1:6" x14ac:dyDescent="0.2">
      <c r="A695"/>
      <c r="B695"/>
      <c r="C695"/>
      <c r="D695"/>
      <c r="E695"/>
      <c r="F695"/>
    </row>
    <row r="696" spans="1:6" x14ac:dyDescent="0.2">
      <c r="A696"/>
      <c r="B696"/>
      <c r="C696"/>
      <c r="D696"/>
      <c r="E696"/>
      <c r="F696"/>
    </row>
    <row r="697" spans="1:6" x14ac:dyDescent="0.2">
      <c r="A697"/>
      <c r="B697"/>
      <c r="C697"/>
      <c r="D697"/>
      <c r="E697"/>
      <c r="F697"/>
    </row>
    <row r="698" spans="1:6" x14ac:dyDescent="0.2">
      <c r="A698"/>
      <c r="B698"/>
      <c r="C698"/>
      <c r="D698"/>
      <c r="E698"/>
      <c r="F698"/>
    </row>
    <row r="699" spans="1:6" x14ac:dyDescent="0.2">
      <c r="A699"/>
      <c r="B699"/>
      <c r="C699"/>
      <c r="D699"/>
      <c r="E699"/>
      <c r="F699"/>
    </row>
    <row r="700" spans="1:6" x14ac:dyDescent="0.2">
      <c r="A700"/>
      <c r="B700"/>
      <c r="C700"/>
      <c r="D700"/>
      <c r="E700"/>
      <c r="F700"/>
    </row>
    <row r="701" spans="1:6" x14ac:dyDescent="0.2">
      <c r="A701"/>
      <c r="B701"/>
      <c r="C701"/>
      <c r="D701"/>
      <c r="E701"/>
      <c r="F701"/>
    </row>
    <row r="702" spans="1:6" x14ac:dyDescent="0.2">
      <c r="A702"/>
      <c r="B702"/>
      <c r="C702"/>
      <c r="D702"/>
      <c r="E702"/>
      <c r="F702"/>
    </row>
    <row r="703" spans="1:6" x14ac:dyDescent="0.2">
      <c r="A703"/>
      <c r="B703"/>
      <c r="C703"/>
      <c r="D703"/>
      <c r="E703"/>
      <c r="F703"/>
    </row>
    <row r="704" spans="1:6" x14ac:dyDescent="0.2">
      <c r="A704"/>
      <c r="B704"/>
      <c r="C704"/>
      <c r="D704"/>
      <c r="E704"/>
      <c r="F704"/>
    </row>
    <row r="705" spans="1:6" x14ac:dyDescent="0.2">
      <c r="A705"/>
      <c r="B705"/>
      <c r="C705"/>
      <c r="D705"/>
      <c r="E705"/>
      <c r="F705"/>
    </row>
    <row r="706" spans="1:6" x14ac:dyDescent="0.2">
      <c r="A706"/>
      <c r="B706"/>
      <c r="C706"/>
      <c r="D706"/>
      <c r="E706"/>
      <c r="F706"/>
    </row>
    <row r="707" spans="1:6" x14ac:dyDescent="0.2">
      <c r="A707"/>
      <c r="B707"/>
      <c r="C707"/>
      <c r="D707"/>
      <c r="E707"/>
      <c r="F707"/>
    </row>
    <row r="708" spans="1:6" x14ac:dyDescent="0.2">
      <c r="A708"/>
      <c r="B708"/>
      <c r="C708"/>
      <c r="D708"/>
      <c r="E708"/>
      <c r="F708"/>
    </row>
    <row r="709" spans="1:6" x14ac:dyDescent="0.2">
      <c r="A709"/>
      <c r="B709"/>
      <c r="C709"/>
      <c r="D709"/>
      <c r="E709"/>
      <c r="F709"/>
    </row>
    <row r="710" spans="1:6" x14ac:dyDescent="0.2">
      <c r="A710"/>
      <c r="B710"/>
      <c r="C710"/>
      <c r="D710"/>
      <c r="E710"/>
      <c r="F710"/>
    </row>
    <row r="711" spans="1:6" x14ac:dyDescent="0.2">
      <c r="A711"/>
      <c r="B711"/>
      <c r="C711"/>
      <c r="D711"/>
      <c r="E711"/>
      <c r="F711"/>
    </row>
    <row r="712" spans="1:6" x14ac:dyDescent="0.2">
      <c r="A712"/>
      <c r="B712"/>
      <c r="C712"/>
      <c r="D712"/>
      <c r="E712"/>
      <c r="F712"/>
    </row>
    <row r="713" spans="1:6" x14ac:dyDescent="0.2">
      <c r="A713"/>
      <c r="B713"/>
      <c r="C713"/>
      <c r="D713"/>
      <c r="E713"/>
      <c r="F713"/>
    </row>
    <row r="714" spans="1:6" x14ac:dyDescent="0.2">
      <c r="A714"/>
      <c r="B714"/>
      <c r="C714"/>
      <c r="D714"/>
      <c r="E714"/>
      <c r="F714"/>
    </row>
    <row r="715" spans="1:6" x14ac:dyDescent="0.2">
      <c r="A715"/>
      <c r="B715"/>
      <c r="C715"/>
      <c r="D715"/>
      <c r="E715"/>
      <c r="F715"/>
    </row>
    <row r="716" spans="1:6" x14ac:dyDescent="0.2">
      <c r="A716"/>
      <c r="B716"/>
      <c r="C716"/>
      <c r="D716"/>
      <c r="E716"/>
      <c r="F716"/>
    </row>
    <row r="717" spans="1:6" x14ac:dyDescent="0.2">
      <c r="A717"/>
      <c r="B717"/>
      <c r="C717"/>
      <c r="D717"/>
      <c r="E717"/>
      <c r="F717"/>
    </row>
    <row r="718" spans="1:6" x14ac:dyDescent="0.2">
      <c r="A718"/>
      <c r="B718"/>
      <c r="C718"/>
      <c r="D718"/>
      <c r="E718"/>
      <c r="F718"/>
    </row>
    <row r="719" spans="1:6" x14ac:dyDescent="0.2">
      <c r="A719"/>
      <c r="B719"/>
      <c r="C719"/>
      <c r="D719"/>
      <c r="E719"/>
      <c r="F719"/>
    </row>
    <row r="720" spans="1:6" x14ac:dyDescent="0.2">
      <c r="A720"/>
      <c r="B720"/>
      <c r="C720"/>
      <c r="D720"/>
      <c r="E720"/>
      <c r="F720"/>
    </row>
    <row r="721" spans="1:6" x14ac:dyDescent="0.2">
      <c r="A721"/>
      <c r="B721"/>
      <c r="C721"/>
      <c r="D721"/>
      <c r="E721"/>
      <c r="F721"/>
    </row>
    <row r="722" spans="1:6" x14ac:dyDescent="0.2">
      <c r="A722"/>
      <c r="B722"/>
      <c r="C722"/>
      <c r="D722"/>
      <c r="E722"/>
      <c r="F722"/>
    </row>
    <row r="723" spans="1:6" x14ac:dyDescent="0.2">
      <c r="A723"/>
      <c r="B723"/>
      <c r="C723"/>
      <c r="D723"/>
      <c r="E723"/>
      <c r="F723"/>
    </row>
    <row r="724" spans="1:6" x14ac:dyDescent="0.2">
      <c r="A724"/>
      <c r="B724"/>
      <c r="C724"/>
      <c r="D724"/>
      <c r="E724"/>
      <c r="F724"/>
    </row>
    <row r="725" spans="1:6" x14ac:dyDescent="0.2">
      <c r="A725"/>
      <c r="B725"/>
      <c r="C725"/>
      <c r="D725"/>
      <c r="E725"/>
      <c r="F725"/>
    </row>
    <row r="726" spans="1:6" x14ac:dyDescent="0.2">
      <c r="A726"/>
      <c r="B726"/>
      <c r="C726"/>
      <c r="D726"/>
      <c r="E726"/>
      <c r="F726"/>
    </row>
    <row r="727" spans="1:6" x14ac:dyDescent="0.2">
      <c r="A727"/>
      <c r="B727"/>
      <c r="C727"/>
      <c r="D727"/>
      <c r="E727"/>
      <c r="F727"/>
    </row>
    <row r="728" spans="1:6" x14ac:dyDescent="0.2">
      <c r="A728"/>
      <c r="B728"/>
      <c r="C728"/>
      <c r="D728"/>
      <c r="E728"/>
      <c r="F728"/>
    </row>
    <row r="729" spans="1:6" x14ac:dyDescent="0.2">
      <c r="A729"/>
      <c r="B729"/>
      <c r="C729"/>
      <c r="D729"/>
      <c r="E729"/>
      <c r="F729"/>
    </row>
    <row r="730" spans="1:6" x14ac:dyDescent="0.2">
      <c r="A730"/>
      <c r="B730"/>
      <c r="C730"/>
      <c r="D730"/>
      <c r="E730"/>
      <c r="F730"/>
    </row>
    <row r="731" spans="1:6" x14ac:dyDescent="0.2">
      <c r="A731"/>
      <c r="B731"/>
      <c r="C731"/>
      <c r="D731"/>
      <c r="E731"/>
      <c r="F731"/>
    </row>
    <row r="732" spans="1:6" x14ac:dyDescent="0.2">
      <c r="A732"/>
      <c r="B732"/>
      <c r="C732"/>
      <c r="D732"/>
      <c r="E732"/>
      <c r="F732"/>
    </row>
    <row r="733" spans="1:6" x14ac:dyDescent="0.2">
      <c r="A733"/>
      <c r="B733"/>
      <c r="C733"/>
      <c r="D733"/>
      <c r="E733"/>
      <c r="F733"/>
    </row>
    <row r="734" spans="1:6" x14ac:dyDescent="0.2">
      <c r="A734"/>
      <c r="B734"/>
      <c r="C734"/>
      <c r="D734"/>
      <c r="E734"/>
      <c r="F734"/>
    </row>
    <row r="735" spans="1:6" x14ac:dyDescent="0.2">
      <c r="A735"/>
      <c r="B735"/>
      <c r="C735"/>
      <c r="D735"/>
      <c r="E735"/>
      <c r="F735"/>
    </row>
    <row r="736" spans="1:6" x14ac:dyDescent="0.2">
      <c r="A736"/>
      <c r="B736"/>
      <c r="C736"/>
      <c r="D736"/>
      <c r="E736"/>
      <c r="F736"/>
    </row>
    <row r="737" spans="1:6" x14ac:dyDescent="0.2">
      <c r="A737"/>
      <c r="B737"/>
      <c r="C737"/>
      <c r="D737"/>
      <c r="E737"/>
      <c r="F737"/>
    </row>
    <row r="738" spans="1:6" x14ac:dyDescent="0.2">
      <c r="A738"/>
      <c r="B738"/>
      <c r="C738"/>
      <c r="D738"/>
      <c r="E738"/>
      <c r="F738"/>
    </row>
    <row r="739" spans="1:6" x14ac:dyDescent="0.2">
      <c r="A739"/>
      <c r="B739"/>
      <c r="C739"/>
      <c r="D739"/>
      <c r="E739"/>
      <c r="F739"/>
    </row>
    <row r="740" spans="1:6" x14ac:dyDescent="0.2">
      <c r="A740"/>
      <c r="B740"/>
      <c r="C740"/>
      <c r="D740"/>
      <c r="E740"/>
      <c r="F740"/>
    </row>
    <row r="741" spans="1:6" x14ac:dyDescent="0.2">
      <c r="A741"/>
      <c r="B741"/>
      <c r="C741"/>
      <c r="D741"/>
      <c r="E741"/>
      <c r="F741"/>
    </row>
    <row r="742" spans="1:6" x14ac:dyDescent="0.2">
      <c r="A742"/>
      <c r="B742"/>
      <c r="C742"/>
      <c r="D742"/>
      <c r="E742"/>
      <c r="F742"/>
    </row>
    <row r="743" spans="1:6" x14ac:dyDescent="0.2">
      <c r="A743"/>
      <c r="B743"/>
      <c r="C743"/>
      <c r="D743"/>
      <c r="E743"/>
      <c r="F743"/>
    </row>
    <row r="744" spans="1:6" x14ac:dyDescent="0.2">
      <c r="A744"/>
      <c r="B744"/>
      <c r="C744"/>
      <c r="D744"/>
      <c r="E744"/>
      <c r="F744"/>
    </row>
    <row r="745" spans="1:6" x14ac:dyDescent="0.2">
      <c r="A745"/>
      <c r="B745"/>
      <c r="C745"/>
      <c r="D745"/>
      <c r="E745"/>
      <c r="F745"/>
    </row>
    <row r="746" spans="1:6" x14ac:dyDescent="0.2">
      <c r="A746"/>
      <c r="B746"/>
      <c r="C746"/>
      <c r="D746"/>
      <c r="E746"/>
      <c r="F746"/>
    </row>
    <row r="747" spans="1:6" x14ac:dyDescent="0.2">
      <c r="A747"/>
      <c r="B747"/>
      <c r="C747"/>
      <c r="D747"/>
      <c r="E747"/>
      <c r="F747"/>
    </row>
    <row r="748" spans="1:6" x14ac:dyDescent="0.2">
      <c r="A748"/>
      <c r="B748"/>
      <c r="C748"/>
      <c r="D748"/>
      <c r="E748"/>
      <c r="F748"/>
    </row>
    <row r="749" spans="1:6" x14ac:dyDescent="0.2">
      <c r="A749"/>
      <c r="B749"/>
      <c r="C749"/>
      <c r="D749"/>
      <c r="E749"/>
      <c r="F749"/>
    </row>
  </sheetData>
  <mergeCells count="12">
    <mergeCell ref="A12:F12"/>
    <mergeCell ref="A2:F11"/>
    <mergeCell ref="A58:D58"/>
    <mergeCell ref="A37:C37"/>
    <mergeCell ref="A15:F15"/>
    <mergeCell ref="A53:D53"/>
    <mergeCell ref="A29:F29"/>
    <mergeCell ref="A52:E52"/>
    <mergeCell ref="A13:F14"/>
    <mergeCell ref="A17:F17"/>
    <mergeCell ref="A26:F27"/>
    <mergeCell ref="A28:F28"/>
  </mergeCells>
  <phoneticPr fontId="9" type="noConversion"/>
  <conditionalFormatting sqref="F19:F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4">
    <cfRule type="colorScale" priority="10">
      <colorScale>
        <cfvo type="min"/>
        <cfvo type="max"/>
        <color rgb="FFFCFCFF"/>
        <color rgb="FFF8696B"/>
      </colorScale>
    </cfRule>
    <cfRule type="colorScale" priority="11">
      <colorScale>
        <cfvo type="min"/>
        <cfvo type="max"/>
        <color rgb="FFFCFCFF"/>
        <color rgb="FFF8696B"/>
      </colorScale>
    </cfRule>
    <cfRule type="colorScale" priority="1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1:F48">
    <cfRule type="colorScale" priority="57">
      <colorScale>
        <cfvo type="min"/>
        <cfvo type="max"/>
        <color rgb="FFFCFCFF"/>
        <color rgb="FFF8696B"/>
      </colorScale>
    </cfRule>
  </conditionalFormatting>
  <conditionalFormatting sqref="F31:F49">
    <cfRule type="colorScale" priority="53">
      <colorScale>
        <cfvo type="min"/>
        <cfvo type="max"/>
        <color rgb="FFFCFCFF"/>
        <color rgb="FFF8696B"/>
      </colorScale>
    </cfRule>
    <cfRule type="colorScale" priority="5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63" location="AbaRemun" display="3.1.2. Remuneração do Capital"/>
    <hyperlink ref="A152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3" manualBreakCount="3">
    <brk id="78" max="5" man="1"/>
    <brk id="147" max="5" man="1"/>
    <brk id="215" max="5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J12" sqref="J11:J12"/>
    </sheetView>
  </sheetViews>
  <sheetFormatPr defaultRowHeight="12.75" x14ac:dyDescent="0.2"/>
  <cols>
    <col min="1" max="1" width="58.28515625" style="231" customWidth="1"/>
    <col min="2" max="2" width="11.140625" style="231" bestFit="1" customWidth="1"/>
    <col min="3" max="3" width="11.28515625" style="231" bestFit="1" customWidth="1"/>
    <col min="4" max="16384" width="9.140625" style="231"/>
  </cols>
  <sheetData>
    <row r="1" spans="1:7" x14ac:dyDescent="0.2">
      <c r="A1" s="9" t="s">
        <v>185</v>
      </c>
    </row>
    <row r="2" spans="1:7" x14ac:dyDescent="0.2">
      <c r="A2" s="236" t="s">
        <v>233</v>
      </c>
    </row>
    <row r="3" spans="1:7" x14ac:dyDescent="0.2">
      <c r="A3" s="236" t="s">
        <v>258</v>
      </c>
    </row>
    <row r="4" spans="1:7" x14ac:dyDescent="0.2">
      <c r="A4" s="5" t="s">
        <v>256</v>
      </c>
    </row>
    <row r="5" spans="1:7" x14ac:dyDescent="0.2">
      <c r="A5" s="5"/>
    </row>
    <row r="6" spans="1:7" s="2" customFormat="1" ht="15.6" customHeight="1" x14ac:dyDescent="0.2">
      <c r="A6" s="314" t="s">
        <v>263</v>
      </c>
      <c r="B6" s="3"/>
      <c r="C6" s="3"/>
      <c r="D6" s="3"/>
      <c r="E6" s="3"/>
      <c r="F6" s="3"/>
      <c r="G6" s="4"/>
    </row>
    <row r="7" spans="1:7" s="2" customFormat="1" ht="16.5" customHeight="1" x14ac:dyDescent="0.2">
      <c r="A7" s="314" t="s">
        <v>260</v>
      </c>
      <c r="B7" s="3"/>
      <c r="C7" s="3"/>
      <c r="D7" s="4"/>
      <c r="E7" s="4"/>
      <c r="F7" s="4"/>
      <c r="G7" s="4"/>
    </row>
    <row r="8" spans="1:7" ht="13.5" thickBot="1" x14ac:dyDescent="0.25"/>
    <row r="9" spans="1:7" ht="18" x14ac:dyDescent="0.25">
      <c r="A9" s="366" t="s">
        <v>253</v>
      </c>
      <c r="B9" s="367"/>
      <c r="C9" s="368"/>
    </row>
    <row r="10" spans="1:7" ht="18" x14ac:dyDescent="0.25">
      <c r="A10" s="249"/>
      <c r="B10" s="248"/>
      <c r="C10" s="250"/>
    </row>
    <row r="11" spans="1:7" s="91" customFormat="1" ht="15" x14ac:dyDescent="0.25">
      <c r="A11" s="237" t="s">
        <v>254</v>
      </c>
      <c r="B11" s="238" t="s">
        <v>234</v>
      </c>
      <c r="C11" s="239" t="s">
        <v>127</v>
      </c>
    </row>
    <row r="12" spans="1:7" ht="14.25" x14ac:dyDescent="0.2">
      <c r="A12" s="168" t="s">
        <v>242</v>
      </c>
      <c r="B12" s="240" t="s">
        <v>235</v>
      </c>
      <c r="C12" s="169">
        <v>3489</v>
      </c>
    </row>
    <row r="13" spans="1:7" ht="14.25" x14ac:dyDescent="0.2">
      <c r="A13" s="168" t="s">
        <v>243</v>
      </c>
      <c r="B13" s="240" t="s">
        <v>240</v>
      </c>
      <c r="C13" s="241">
        <v>0.42</v>
      </c>
    </row>
    <row r="14" spans="1:7" ht="14.25" x14ac:dyDescent="0.2">
      <c r="A14" s="168" t="s">
        <v>244</v>
      </c>
      <c r="B14" s="240" t="s">
        <v>241</v>
      </c>
      <c r="C14" s="242">
        <f>C12*C13/1000</f>
        <v>1.4653799999999999</v>
      </c>
    </row>
    <row r="15" spans="1:7" ht="14.25" x14ac:dyDescent="0.2">
      <c r="A15" s="168" t="s">
        <v>250</v>
      </c>
      <c r="B15" s="240" t="s">
        <v>236</v>
      </c>
      <c r="C15" s="243">
        <f>(C14*30)</f>
        <v>43.961399999999998</v>
      </c>
    </row>
    <row r="16" spans="1:7" ht="14.25" x14ac:dyDescent="0.2">
      <c r="A16" s="168" t="s">
        <v>246</v>
      </c>
      <c r="B16" s="240" t="s">
        <v>87</v>
      </c>
      <c r="C16" s="246">
        <v>2</v>
      </c>
    </row>
    <row r="17" spans="1:3" ht="14.25" x14ac:dyDescent="0.2">
      <c r="A17" s="168" t="s">
        <v>245</v>
      </c>
      <c r="B17" s="240" t="s">
        <v>241</v>
      </c>
      <c r="C17" s="242">
        <f>IFERROR(C14*7/C16,0)</f>
        <v>5.1288299999999998</v>
      </c>
    </row>
    <row r="18" spans="1:3" ht="14.25" x14ac:dyDescent="0.2">
      <c r="A18" s="168" t="s">
        <v>237</v>
      </c>
      <c r="B18" s="240" t="s">
        <v>238</v>
      </c>
      <c r="C18" s="189">
        <v>500</v>
      </c>
    </row>
    <row r="19" spans="1:3" ht="14.25" x14ac:dyDescent="0.2">
      <c r="A19" s="168" t="s">
        <v>251</v>
      </c>
      <c r="B19" s="240"/>
      <c r="C19" s="169">
        <v>2</v>
      </c>
    </row>
    <row r="20" spans="1:3" ht="14.25" x14ac:dyDescent="0.2">
      <c r="A20" s="168" t="s">
        <v>252</v>
      </c>
      <c r="B20" s="240" t="s">
        <v>239</v>
      </c>
      <c r="C20" s="169">
        <v>19</v>
      </c>
    </row>
    <row r="21" spans="1:3" ht="14.25" x14ac:dyDescent="0.2">
      <c r="A21" s="168" t="s">
        <v>247</v>
      </c>
      <c r="B21" s="240" t="s">
        <v>236</v>
      </c>
      <c r="C21" s="189">
        <f>IF(AND(C20&gt;=15,C19=1),5.8,C20/2)</f>
        <v>9.5</v>
      </c>
    </row>
    <row r="22" spans="1:3" ht="14.25" x14ac:dyDescent="0.2">
      <c r="A22" s="168" t="s">
        <v>248</v>
      </c>
      <c r="B22" s="240"/>
      <c r="C22" s="242">
        <f>IFERROR(C17/C21,0)</f>
        <v>0.5398768421052631</v>
      </c>
    </row>
    <row r="23" spans="1:3" ht="14.25" x14ac:dyDescent="0.2">
      <c r="A23" s="168" t="s">
        <v>255</v>
      </c>
      <c r="B23" s="240"/>
      <c r="C23" s="251">
        <v>1</v>
      </c>
    </row>
    <row r="24" spans="1:3" ht="15" thickBot="1" x14ac:dyDescent="0.25">
      <c r="A24" s="244" t="s">
        <v>249</v>
      </c>
      <c r="B24" s="245"/>
      <c r="C24" s="247">
        <f>IFERROR(C22/C23,0)</f>
        <v>0.5398768421052631</v>
      </c>
    </row>
    <row r="26" spans="1:3" ht="13.5" thickBot="1" x14ac:dyDescent="0.25"/>
    <row r="27" spans="1:3" ht="14.25" customHeight="1" x14ac:dyDescent="0.2">
      <c r="A27" s="369" t="s">
        <v>329</v>
      </c>
      <c r="B27" s="370"/>
      <c r="C27" s="371"/>
    </row>
    <row r="28" spans="1:3" ht="30" customHeight="1" x14ac:dyDescent="0.2">
      <c r="A28" s="372"/>
      <c r="B28" s="373"/>
      <c r="C28" s="374"/>
    </row>
    <row r="29" spans="1:3" ht="19.5" customHeight="1" x14ac:dyDescent="0.2">
      <c r="A29" s="372" t="s">
        <v>328</v>
      </c>
      <c r="B29" s="373"/>
      <c r="C29" s="374"/>
    </row>
    <row r="30" spans="1:3" ht="12.75" customHeight="1" x14ac:dyDescent="0.2">
      <c r="A30" s="372"/>
      <c r="B30" s="373"/>
      <c r="C30" s="374"/>
    </row>
    <row r="31" spans="1:3" ht="33" customHeight="1" thickBot="1" x14ac:dyDescent="0.25">
      <c r="A31" s="375"/>
      <c r="B31" s="376"/>
      <c r="C31" s="377"/>
    </row>
  </sheetData>
  <mergeCells count="3">
    <mergeCell ref="A9:C9"/>
    <mergeCell ref="A27:C28"/>
    <mergeCell ref="A29:C31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view="pageBreakPreview" topLeftCell="A12" zoomScaleNormal="100" zoomScaleSheetLayoutView="100" workbookViewId="0">
      <selection activeCell="C20" sqref="C20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3" t="s">
        <v>282</v>
      </c>
      <c r="B2" s="324"/>
      <c r="C2" s="324"/>
      <c r="D2" s="324"/>
      <c r="E2" s="324"/>
      <c r="F2" s="324"/>
    </row>
    <row r="3" spans="1:7" hidden="1" x14ac:dyDescent="0.2">
      <c r="A3" s="324"/>
      <c r="B3" s="324"/>
      <c r="C3" s="324"/>
      <c r="D3" s="324"/>
      <c r="E3" s="324"/>
      <c r="F3" s="324"/>
    </row>
    <row r="4" spans="1:7" hidden="1" x14ac:dyDescent="0.2">
      <c r="A4" s="324"/>
      <c r="B4" s="324"/>
      <c r="C4" s="324"/>
      <c r="D4" s="324"/>
      <c r="E4" s="324"/>
      <c r="F4" s="324"/>
    </row>
    <row r="5" spans="1:7" s="2" customFormat="1" ht="15.6" hidden="1" customHeight="1" x14ac:dyDescent="0.2">
      <c r="A5" s="324"/>
      <c r="B5" s="324"/>
      <c r="C5" s="324"/>
      <c r="D5" s="324"/>
      <c r="E5" s="324"/>
      <c r="F5" s="324"/>
      <c r="G5" s="4"/>
    </row>
    <row r="6" spans="1:7" s="2" customFormat="1" ht="15.6" hidden="1" customHeight="1" x14ac:dyDescent="0.2">
      <c r="A6" s="324"/>
      <c r="B6" s="324"/>
      <c r="C6" s="324"/>
      <c r="D6" s="324"/>
      <c r="E6" s="324"/>
      <c r="F6" s="324"/>
      <c r="G6" s="4"/>
    </row>
    <row r="7" spans="1:7" s="2" customFormat="1" ht="15.6" hidden="1" customHeight="1" x14ac:dyDescent="0.2">
      <c r="A7" s="324"/>
      <c r="B7" s="324"/>
      <c r="C7" s="324"/>
      <c r="D7" s="324"/>
      <c r="E7" s="324"/>
      <c r="F7" s="324"/>
      <c r="G7" s="4"/>
    </row>
    <row r="8" spans="1:7" s="2" customFormat="1" ht="15.6" hidden="1" customHeight="1" x14ac:dyDescent="0.2">
      <c r="A8" s="324"/>
      <c r="B8" s="324"/>
      <c r="C8" s="324"/>
      <c r="D8" s="324"/>
      <c r="E8" s="324"/>
      <c r="F8" s="324"/>
      <c r="G8" s="4"/>
    </row>
    <row r="9" spans="1:7" s="2" customFormat="1" ht="15.6" hidden="1" customHeight="1" x14ac:dyDescent="0.2">
      <c r="A9" s="324"/>
      <c r="B9" s="324"/>
      <c r="C9" s="324"/>
      <c r="D9" s="324"/>
      <c r="E9" s="324"/>
      <c r="F9" s="324"/>
      <c r="G9" s="4"/>
    </row>
    <row r="10" spans="1:7" s="2" customFormat="1" ht="15.6" hidden="1" customHeight="1" x14ac:dyDescent="0.2">
      <c r="A10" s="324"/>
      <c r="B10" s="324"/>
      <c r="C10" s="324"/>
      <c r="D10" s="324"/>
      <c r="E10" s="324"/>
      <c r="F10" s="324"/>
      <c r="G10" s="4"/>
    </row>
    <row r="11" spans="1:7" s="2" customFormat="1" ht="16.5" hidden="1" customHeight="1" thickBot="1" x14ac:dyDescent="0.25">
      <c r="A11" s="325"/>
      <c r="B11" s="325"/>
      <c r="C11" s="325"/>
      <c r="D11" s="325"/>
      <c r="E11" s="325"/>
      <c r="F11" s="325"/>
      <c r="G11" s="4"/>
    </row>
    <row r="12" spans="1:7" s="6" customFormat="1" ht="18" customHeight="1" x14ac:dyDescent="0.2">
      <c r="A12" s="340" t="s">
        <v>332</v>
      </c>
      <c r="B12" s="340"/>
      <c r="C12" s="340"/>
      <c r="D12" s="340"/>
      <c r="E12" s="340"/>
      <c r="F12" s="340"/>
      <c r="G12" s="33"/>
    </row>
    <row r="13" spans="1:7" s="6" customFormat="1" ht="21.75" customHeight="1" x14ac:dyDescent="0.2">
      <c r="A13" s="341"/>
      <c r="B13" s="341"/>
      <c r="C13" s="341"/>
      <c r="D13" s="341"/>
      <c r="E13" s="341"/>
      <c r="F13" s="341"/>
      <c r="G13" s="33"/>
    </row>
    <row r="14" spans="1:7" s="6" customFormat="1" ht="21.75" customHeight="1" x14ac:dyDescent="0.2">
      <c r="A14" s="331" t="s">
        <v>39</v>
      </c>
      <c r="B14" s="332"/>
      <c r="C14" s="332"/>
      <c r="D14" s="332"/>
      <c r="E14" s="332"/>
      <c r="F14" s="333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7" t="s">
        <v>184</v>
      </c>
      <c r="B16" s="338"/>
      <c r="C16" s="338"/>
      <c r="D16" s="338"/>
      <c r="E16" s="338"/>
      <c r="F16" s="339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29899.663133602597</v>
      </c>
      <c r="F18" s="110">
        <f>E18/$E$22</f>
        <v>0.68939039767401333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3536.59</v>
      </c>
      <c r="F19" s="110">
        <f>E19/$E$22</f>
        <v>8.1542429946974943E-2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9934.9096131999995</v>
      </c>
      <c r="F20" s="110">
        <f>E20/$E$22</f>
        <v>0.22906717237901167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'1.4. DESTINAÇÃO'!E33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43371.162746802598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ht="16.5" thickBot="1" x14ac:dyDescent="0.25">
      <c r="A24" s="283"/>
      <c r="B24" s="283"/>
      <c r="C24" s="283"/>
      <c r="D24" s="284"/>
      <c r="E24" s="284"/>
      <c r="F24" s="284"/>
    </row>
    <row r="25" spans="1:10" ht="12.75" customHeight="1" x14ac:dyDescent="0.2">
      <c r="A25" s="342" t="s">
        <v>318</v>
      </c>
      <c r="B25" s="342"/>
      <c r="C25" s="342"/>
      <c r="D25" s="342"/>
      <c r="E25" s="342"/>
      <c r="F25" s="342"/>
    </row>
    <row r="26" spans="1:10" ht="12.75" customHeight="1" x14ac:dyDescent="0.2">
      <c r="A26" s="343"/>
      <c r="B26" s="343"/>
      <c r="C26" s="343"/>
      <c r="D26" s="343"/>
      <c r="E26" s="343"/>
      <c r="F26" s="343"/>
    </row>
    <row r="27" spans="1:10" ht="15.75" thickBot="1" x14ac:dyDescent="0.25">
      <c r="A27" s="344" t="s">
        <v>317</v>
      </c>
      <c r="B27" s="345"/>
      <c r="C27" s="345"/>
      <c r="D27" s="345"/>
      <c r="E27" s="345"/>
      <c r="F27" s="346"/>
    </row>
    <row r="28" spans="1:10" ht="16.5" thickBot="1" x14ac:dyDescent="0.25">
      <c r="A28" s="306" t="s">
        <v>184</v>
      </c>
      <c r="B28" s="307"/>
      <c r="C28" s="307"/>
      <c r="D28" s="307"/>
      <c r="E28" s="307"/>
      <c r="F28" s="308"/>
    </row>
    <row r="29" spans="1:10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G29" s="261"/>
    </row>
    <row r="30" spans="1:10" s="43" customFormat="1" ht="11.25" customHeight="1" x14ac:dyDescent="0.2">
      <c r="A30" s="107" t="str">
        <f>A46</f>
        <v>1. Mão-de-obra</v>
      </c>
      <c r="B30" s="108"/>
      <c r="C30" s="109"/>
      <c r="D30" s="109"/>
      <c r="E30" s="213">
        <f>+F67</f>
        <v>0</v>
      </c>
      <c r="F30" s="110">
        <f>IFERROR(E30/$E$35,0)</f>
        <v>0</v>
      </c>
      <c r="G30" s="68"/>
    </row>
    <row r="31" spans="1:10" x14ac:dyDescent="0.2">
      <c r="A31" s="41" t="str">
        <f>A48</f>
        <v>1.1. Engenheiro Responsável - 20 h/mês</v>
      </c>
      <c r="B31" s="38"/>
      <c r="C31" s="39"/>
      <c r="D31" s="39"/>
      <c r="E31" s="214">
        <f>F60</f>
        <v>0</v>
      </c>
      <c r="F31" s="110">
        <f>IFERROR(E31/$E$35,0)</f>
        <v>0</v>
      </c>
    </row>
    <row r="32" spans="1:10" s="8" customFormat="1" x14ac:dyDescent="0.2">
      <c r="A32" s="41" t="str">
        <f>A62</f>
        <v>1.2. Auxílio Alimentação (mensal)</v>
      </c>
      <c r="B32" s="38"/>
      <c r="C32" s="39"/>
      <c r="D32" s="39"/>
      <c r="E32" s="214">
        <f>F65</f>
        <v>0</v>
      </c>
      <c r="F32" s="110">
        <f>IFERROR(E32/$E$35,0)</f>
        <v>0</v>
      </c>
      <c r="H32" s="7"/>
      <c r="I32" s="7"/>
      <c r="J32" s="7"/>
    </row>
    <row r="33" spans="1:10" s="8" customFormat="1" ht="11.25" customHeight="1" x14ac:dyDescent="0.2">
      <c r="A33" s="118" t="str">
        <f>A69</f>
        <v>2. Licenciamentos</v>
      </c>
      <c r="B33" s="280"/>
      <c r="C33" s="109"/>
      <c r="D33" s="109"/>
      <c r="E33" s="213">
        <f>+F75</f>
        <v>2818</v>
      </c>
      <c r="F33" s="110">
        <f>IFERROR(E33/$E$35,0)</f>
        <v>0.79681274900398402</v>
      </c>
      <c r="H33" s="7"/>
      <c r="I33" s="7"/>
      <c r="J33" s="7"/>
    </row>
    <row r="34" spans="1:10" s="8" customFormat="1" ht="13.5" thickBot="1" x14ac:dyDescent="0.25">
      <c r="A34" s="118" t="str">
        <f>A80</f>
        <v>3. Benefícios e Despesas Indiretas - BDI</v>
      </c>
      <c r="B34" s="280"/>
      <c r="C34" s="109"/>
      <c r="D34" s="109"/>
      <c r="E34" s="215">
        <f>+F86</f>
        <v>718.59</v>
      </c>
      <c r="F34" s="110">
        <f>IFERROR(E34/$E$35,0)</f>
        <v>0.20318725099601595</v>
      </c>
      <c r="H34" s="7"/>
      <c r="I34" s="7"/>
      <c r="J34" s="7"/>
    </row>
    <row r="35" spans="1:10" s="8" customFormat="1" ht="13.5" thickBot="1" x14ac:dyDescent="0.25">
      <c r="A35" s="36" t="s">
        <v>335</v>
      </c>
      <c r="B35" s="282"/>
      <c r="C35" s="24"/>
      <c r="D35" s="24"/>
      <c r="E35" s="98">
        <f>E30+E34+E33</f>
        <v>3536.59</v>
      </c>
      <c r="F35" s="121">
        <f>F30+F34+F33</f>
        <v>1</v>
      </c>
      <c r="H35" s="7"/>
      <c r="I35" s="7"/>
      <c r="J35" s="7"/>
    </row>
    <row r="37" spans="1:10" s="8" customFormat="1" ht="11.25" customHeight="1" thickBot="1" x14ac:dyDescent="0.25">
      <c r="A37" s="7"/>
      <c r="B37" s="7"/>
      <c r="C37" s="7"/>
      <c r="H37" s="7"/>
      <c r="I37" s="7"/>
      <c r="J37" s="7"/>
    </row>
    <row r="38" spans="1:10" s="8" customFormat="1" ht="16.5" thickBot="1" x14ac:dyDescent="0.25">
      <c r="A38" s="337" t="s">
        <v>90</v>
      </c>
      <c r="B38" s="338"/>
      <c r="C38" s="338"/>
      <c r="D38" s="338"/>
      <c r="E38" s="339"/>
      <c r="H38" s="7"/>
      <c r="I38" s="7"/>
      <c r="J38" s="7"/>
    </row>
    <row r="39" spans="1:10" s="8" customFormat="1" ht="13.5" thickBot="1" x14ac:dyDescent="0.25">
      <c r="A39" s="334" t="s">
        <v>35</v>
      </c>
      <c r="B39" s="335"/>
      <c r="C39" s="335"/>
      <c r="D39" s="336"/>
      <c r="E39" s="40" t="s">
        <v>36</v>
      </c>
      <c r="H39" s="7"/>
      <c r="I39" s="7"/>
      <c r="J39" s="7"/>
    </row>
    <row r="40" spans="1:10" s="8" customFormat="1" ht="12.6" customHeight="1" x14ac:dyDescent="0.2">
      <c r="A40" s="267" t="str">
        <f>+A48</f>
        <v>1.1. Engenheiro Responsável - 20 h/mês</v>
      </c>
      <c r="B40" s="54"/>
      <c r="C40" s="54"/>
      <c r="D40" s="63"/>
      <c r="E40" s="57">
        <f>C59</f>
        <v>1</v>
      </c>
      <c r="H40" s="7"/>
      <c r="I40" s="7"/>
      <c r="J40" s="7"/>
    </row>
    <row r="41" spans="1:10" s="8" customFormat="1" ht="13.5" thickBot="1" x14ac:dyDescent="0.25">
      <c r="A41" s="58" t="s">
        <v>55</v>
      </c>
      <c r="B41" s="59"/>
      <c r="C41" s="59"/>
      <c r="D41" s="64"/>
      <c r="E41" s="65">
        <f>SUM(E40:E40)</f>
        <v>1</v>
      </c>
      <c r="H41" s="7"/>
      <c r="I41" s="7"/>
      <c r="J41" s="7"/>
    </row>
    <row r="42" spans="1:10" s="8" customFormat="1" x14ac:dyDescent="0.2">
      <c r="A42" s="111"/>
      <c r="B42" s="112"/>
      <c r="C42" s="47"/>
      <c r="D42" s="47"/>
      <c r="E42"/>
      <c r="F42"/>
      <c r="H42" s="7"/>
      <c r="I42" s="7"/>
      <c r="J42" s="7"/>
    </row>
    <row r="43" spans="1:10" s="8" customFormat="1" ht="13.5" thickBot="1" x14ac:dyDescent="0.25">
      <c r="A43" s="47"/>
      <c r="B43" s="47"/>
      <c r="C43" s="47"/>
      <c r="D43" s="7"/>
      <c r="E43" s="55"/>
      <c r="F43" s="7"/>
      <c r="H43" s="7"/>
      <c r="I43" s="7"/>
      <c r="J43" s="7"/>
    </row>
    <row r="44" spans="1:10" s="8" customFormat="1" ht="13.5" thickBot="1" x14ac:dyDescent="0.25">
      <c r="A44" s="217" t="s">
        <v>180</v>
      </c>
      <c r="B44" s="293">
        <v>0.4</v>
      </c>
      <c r="C44" s="32"/>
      <c r="D44" s="9"/>
      <c r="E44" s="130"/>
      <c r="F44" s="9"/>
      <c r="H44" s="7"/>
      <c r="I44" s="7"/>
      <c r="J44" s="7"/>
    </row>
    <row r="45" spans="1:10" s="8" customFormat="1" x14ac:dyDescent="0.2">
      <c r="A45" s="47"/>
      <c r="B45" s="47"/>
      <c r="C45" s="47"/>
      <c r="D45" s="7"/>
      <c r="E45" s="55"/>
      <c r="F45" s="7"/>
      <c r="H45" s="7"/>
      <c r="I45" s="7"/>
      <c r="J45" s="7"/>
    </row>
    <row r="46" spans="1:10" s="8" customFormat="1" x14ac:dyDescent="0.2">
      <c r="A46" s="9" t="s">
        <v>43</v>
      </c>
      <c r="B46" s="7"/>
      <c r="C46" s="7"/>
      <c r="H46" s="7"/>
      <c r="I46" s="7"/>
      <c r="J46" s="7"/>
    </row>
    <row r="47" spans="1:10" hidden="1" x14ac:dyDescent="0.2"/>
    <row r="48" spans="1:10" ht="13.5" thickBot="1" x14ac:dyDescent="0.25">
      <c r="A48" s="5" t="s">
        <v>314</v>
      </c>
    </row>
    <row r="49" spans="1:10" ht="13.5" thickBot="1" x14ac:dyDescent="0.25">
      <c r="A49" s="48" t="s">
        <v>59</v>
      </c>
      <c r="B49" s="49" t="s">
        <v>60</v>
      </c>
      <c r="C49" s="49" t="s">
        <v>36</v>
      </c>
      <c r="D49" s="50" t="s">
        <v>212</v>
      </c>
      <c r="E49" s="50" t="s">
        <v>61</v>
      </c>
      <c r="F49" s="51" t="s">
        <v>62</v>
      </c>
    </row>
    <row r="50" spans="1:10" x14ac:dyDescent="0.2">
      <c r="A50" s="255" t="s">
        <v>261</v>
      </c>
      <c r="B50" s="279" t="s">
        <v>313</v>
      </c>
      <c r="C50" s="12">
        <v>1</v>
      </c>
      <c r="D50" s="71"/>
      <c r="E50" s="13">
        <f>C50*D50</f>
        <v>0</v>
      </c>
    </row>
    <row r="51" spans="1:10" x14ac:dyDescent="0.2">
      <c r="A51" s="255" t="s">
        <v>262</v>
      </c>
      <c r="B51" s="12" t="s">
        <v>8</v>
      </c>
      <c r="C51" s="12">
        <v>1</v>
      </c>
      <c r="D51" s="73"/>
      <c r="E51" s="16"/>
    </row>
    <row r="52" spans="1:10" x14ac:dyDescent="0.2">
      <c r="A52" s="14" t="s">
        <v>7</v>
      </c>
      <c r="B52" s="15" t="s">
        <v>91</v>
      </c>
      <c r="C52" s="72">
        <v>0</v>
      </c>
      <c r="D52" s="14"/>
      <c r="E52" s="14"/>
    </row>
    <row r="53" spans="1:10" x14ac:dyDescent="0.2">
      <c r="A53" s="14"/>
      <c r="B53" s="15" t="s">
        <v>93</v>
      </c>
      <c r="C53" s="16">
        <f>C52*8/7</f>
        <v>0</v>
      </c>
      <c r="D53" s="16">
        <f>D50/220*0.2</f>
        <v>0</v>
      </c>
      <c r="E53" s="16">
        <f>C53*D53</f>
        <v>0</v>
      </c>
    </row>
    <row r="54" spans="1:10" s="8" customFormat="1" x14ac:dyDescent="0.2">
      <c r="A54" s="14" t="s">
        <v>193</v>
      </c>
      <c r="B54" s="15"/>
      <c r="C54" s="74">
        <v>0</v>
      </c>
      <c r="D54" s="16"/>
      <c r="E54" s="16"/>
      <c r="H54" s="7"/>
      <c r="I54" s="7"/>
      <c r="J54" s="7"/>
    </row>
    <row r="55" spans="1:10" s="8" customFormat="1" x14ac:dyDescent="0.2">
      <c r="A55" s="14" t="s">
        <v>1</v>
      </c>
      <c r="B55" s="15" t="s">
        <v>2</v>
      </c>
      <c r="C55" s="67">
        <v>0</v>
      </c>
      <c r="D55" s="67">
        <f>IF(C54=2,SUM(E50:E53),IF(C54=1,SUM(E50:E53)*D51/D50,0))</f>
        <v>0</v>
      </c>
      <c r="E55" s="16">
        <f>C55*D55/100</f>
        <v>0</v>
      </c>
      <c r="H55" s="7"/>
      <c r="I55" s="7"/>
      <c r="J55" s="7"/>
    </row>
    <row r="56" spans="1:10" s="8" customFormat="1" x14ac:dyDescent="0.2">
      <c r="A56" s="100" t="s">
        <v>3</v>
      </c>
      <c r="B56" s="101"/>
      <c r="C56" s="101"/>
      <c r="D56" s="102"/>
      <c r="E56" s="103">
        <f>SUM(E50:E55)</f>
        <v>0</v>
      </c>
      <c r="F56" s="37"/>
      <c r="H56" s="7"/>
      <c r="I56" s="7"/>
      <c r="J56" s="7"/>
    </row>
    <row r="57" spans="1:10" s="8" customFormat="1" x14ac:dyDescent="0.2">
      <c r="A57" s="14" t="s">
        <v>4</v>
      </c>
      <c r="B57" s="15" t="s">
        <v>2</v>
      </c>
      <c r="C57" s="120">
        <f>'2.Encargos Sociais'!$C$37*100</f>
        <v>70.356014999999999</v>
      </c>
      <c r="D57" s="16">
        <f>E56</f>
        <v>0</v>
      </c>
      <c r="E57" s="16">
        <f>D57*C57/100</f>
        <v>0</v>
      </c>
      <c r="H57" s="7"/>
      <c r="I57" s="7"/>
      <c r="J57" s="7"/>
    </row>
    <row r="58" spans="1:10" s="8" customFormat="1" x14ac:dyDescent="0.2">
      <c r="A58" s="100" t="s">
        <v>276</v>
      </c>
      <c r="B58" s="101"/>
      <c r="C58" s="101"/>
      <c r="D58" s="102"/>
      <c r="E58" s="103">
        <f>E56+E57</f>
        <v>0</v>
      </c>
      <c r="F58" s="37"/>
      <c r="H58" s="7"/>
      <c r="I58" s="7"/>
      <c r="J58" s="7"/>
    </row>
    <row r="59" spans="1:10" s="8" customFormat="1" ht="13.5" thickBot="1" x14ac:dyDescent="0.25">
      <c r="A59" s="14" t="s">
        <v>5</v>
      </c>
      <c r="B59" s="15" t="s">
        <v>6</v>
      </c>
      <c r="C59" s="70">
        <v>1</v>
      </c>
      <c r="D59" s="16">
        <f>E58</f>
        <v>0</v>
      </c>
      <c r="E59" s="16">
        <f>C59*D59</f>
        <v>0</v>
      </c>
      <c r="H59" s="7"/>
      <c r="I59" s="7"/>
      <c r="J59" s="7"/>
    </row>
    <row r="60" spans="1:10" s="8" customFormat="1" ht="13.5" thickBot="1" x14ac:dyDescent="0.25">
      <c r="A60" s="7"/>
      <c r="B60" s="7"/>
      <c r="C60" s="7"/>
      <c r="D60" s="105" t="s">
        <v>179</v>
      </c>
      <c r="E60" s="42">
        <v>1</v>
      </c>
      <c r="F60" s="106">
        <f>E59*E60</f>
        <v>0</v>
      </c>
      <c r="H60" s="7"/>
      <c r="I60" s="7"/>
      <c r="J60" s="7"/>
    </row>
    <row r="62" spans="1:10" s="8" customFormat="1" ht="13.5" thickBot="1" x14ac:dyDescent="0.25">
      <c r="A62" s="5" t="s">
        <v>316</v>
      </c>
      <c r="B62" s="7"/>
      <c r="C62" s="7"/>
      <c r="F62" s="21"/>
      <c r="H62" s="7"/>
      <c r="I62" s="7"/>
      <c r="J62" s="7"/>
    </row>
    <row r="63" spans="1:10" s="8" customFormat="1" ht="13.5" thickBot="1" x14ac:dyDescent="0.25">
      <c r="A63" s="48" t="s">
        <v>59</v>
      </c>
      <c r="B63" s="49" t="s">
        <v>60</v>
      </c>
      <c r="C63" s="49" t="s">
        <v>36</v>
      </c>
      <c r="D63" s="50" t="s">
        <v>212</v>
      </c>
      <c r="E63" s="50" t="s">
        <v>61</v>
      </c>
      <c r="F63" s="51" t="s">
        <v>62</v>
      </c>
      <c r="H63" s="7"/>
      <c r="I63" s="7"/>
      <c r="J63" s="7"/>
    </row>
    <row r="64" spans="1:10" s="8" customFormat="1" ht="13.5" thickBot="1" x14ac:dyDescent="0.25">
      <c r="A64" s="5" t="s">
        <v>287</v>
      </c>
      <c r="B64" s="15" t="s">
        <v>10</v>
      </c>
      <c r="C64" s="85">
        <v>1</v>
      </c>
      <c r="D64" s="73"/>
      <c r="E64" s="42">
        <f>C64*D64</f>
        <v>0</v>
      </c>
      <c r="F64" s="21"/>
      <c r="H64" s="7"/>
      <c r="I64" s="7"/>
      <c r="J64" s="7"/>
    </row>
    <row r="65" spans="1:10" s="8" customFormat="1" ht="13.5" thickBot="1" x14ac:dyDescent="0.25">
      <c r="A65" s="7"/>
      <c r="B65" s="7"/>
      <c r="C65" s="7"/>
      <c r="D65" s="105" t="s">
        <v>179</v>
      </c>
      <c r="E65" s="42">
        <f>$B$44</f>
        <v>0.4</v>
      </c>
      <c r="F65" s="20">
        <f>SUM(E64:E64)*E65</f>
        <v>0</v>
      </c>
      <c r="H65" s="7"/>
      <c r="I65" s="7"/>
      <c r="J65" s="7"/>
    </row>
    <row r="66" spans="1:10" s="8" customFormat="1" ht="13.5" thickBot="1" x14ac:dyDescent="0.25">
      <c r="A66" s="7"/>
      <c r="B66" s="7"/>
      <c r="C66" s="7"/>
      <c r="H66" s="7"/>
      <c r="I66" s="7"/>
      <c r="J66" s="7"/>
    </row>
    <row r="67" spans="1:10" s="8" customFormat="1" ht="13.5" thickBot="1" x14ac:dyDescent="0.25">
      <c r="A67" s="22" t="s">
        <v>88</v>
      </c>
      <c r="B67" s="23"/>
      <c r="C67" s="23"/>
      <c r="D67" s="24"/>
      <c r="E67" s="25"/>
      <c r="F67" s="20">
        <f>F65+F60</f>
        <v>0</v>
      </c>
      <c r="H67" s="7"/>
      <c r="I67" s="7"/>
      <c r="J67" s="7"/>
    </row>
    <row r="69" spans="1:10" s="8" customFormat="1" ht="13.5" thickBot="1" x14ac:dyDescent="0.25">
      <c r="A69" s="9" t="s">
        <v>315</v>
      </c>
      <c r="B69" s="9"/>
      <c r="C69" s="9"/>
      <c r="D69" s="21"/>
      <c r="E69" s="21"/>
      <c r="F69" s="31"/>
      <c r="H69" s="7"/>
      <c r="I69" s="7"/>
      <c r="J69" s="7"/>
    </row>
    <row r="70" spans="1:10" s="8" customFormat="1" ht="13.5" thickBot="1" x14ac:dyDescent="0.25">
      <c r="A70" s="273" t="s">
        <v>59</v>
      </c>
      <c r="B70" s="274" t="s">
        <v>60</v>
      </c>
      <c r="C70" s="274" t="s">
        <v>36</v>
      </c>
      <c r="D70" s="275" t="s">
        <v>212</v>
      </c>
      <c r="E70" s="275" t="s">
        <v>61</v>
      </c>
      <c r="F70" s="276" t="s">
        <v>62</v>
      </c>
      <c r="H70" s="7"/>
      <c r="I70" s="7"/>
      <c r="J70" s="7"/>
    </row>
    <row r="71" spans="1:10" s="8" customFormat="1" x14ac:dyDescent="0.2">
      <c r="A71" s="255" t="s">
        <v>288</v>
      </c>
      <c r="B71" s="279" t="s">
        <v>291</v>
      </c>
      <c r="C71" s="301">
        <v>1</v>
      </c>
      <c r="D71" s="302">
        <v>500</v>
      </c>
      <c r="E71" s="89">
        <f>C71*D71</f>
        <v>500</v>
      </c>
      <c r="F71" s="95"/>
      <c r="H71" s="7"/>
      <c r="I71" s="7"/>
      <c r="J71" s="7"/>
    </row>
    <row r="72" spans="1:10" s="8" customFormat="1" x14ac:dyDescent="0.2">
      <c r="A72" s="255" t="s">
        <v>289</v>
      </c>
      <c r="B72" s="279" t="s">
        <v>292</v>
      </c>
      <c r="C72" s="303">
        <v>1</v>
      </c>
      <c r="D72" s="304">
        <v>800</v>
      </c>
      <c r="E72" s="89">
        <f>C72*D72</f>
        <v>800</v>
      </c>
      <c r="F72" s="95"/>
      <c r="H72" s="7"/>
      <c r="I72" s="7"/>
      <c r="J72" s="7"/>
    </row>
    <row r="73" spans="1:10" s="8" customFormat="1" x14ac:dyDescent="0.2">
      <c r="A73" s="255" t="s">
        <v>290</v>
      </c>
      <c r="B73" s="279" t="s">
        <v>8</v>
      </c>
      <c r="C73" s="295">
        <v>1</v>
      </c>
      <c r="D73" s="302">
        <v>1518</v>
      </c>
      <c r="E73" s="89">
        <f>C73*D73</f>
        <v>1518</v>
      </c>
      <c r="F73" s="95"/>
      <c r="H73" s="7"/>
      <c r="I73" s="7"/>
      <c r="J73" s="7"/>
    </row>
    <row r="74" spans="1:10" s="8" customFormat="1" ht="13.5" thickBot="1" x14ac:dyDescent="0.25">
      <c r="A74" s="100" t="s">
        <v>293</v>
      </c>
      <c r="B74" s="87" t="s">
        <v>294</v>
      </c>
      <c r="C74" s="101"/>
      <c r="D74" s="272"/>
      <c r="E74" s="96">
        <f>E71+E72+E73</f>
        <v>2818</v>
      </c>
      <c r="F74" s="7"/>
      <c r="H74" s="7"/>
      <c r="I74" s="7"/>
      <c r="J74" s="7"/>
    </row>
    <row r="75" spans="1:10" s="8" customFormat="1" ht="13.5" thickBot="1" x14ac:dyDescent="0.25">
      <c r="A75" s="9"/>
      <c r="B75" s="9"/>
      <c r="C75" s="9"/>
      <c r="D75" s="105" t="s">
        <v>179</v>
      </c>
      <c r="E75" s="42">
        <v>1</v>
      </c>
      <c r="F75" s="277">
        <f>E74*E75</f>
        <v>2818</v>
      </c>
      <c r="H75" s="7"/>
      <c r="I75" s="7"/>
      <c r="J75" s="7"/>
    </row>
    <row r="76" spans="1:10" s="8" customFormat="1" x14ac:dyDescent="0.2">
      <c r="A76" s="9"/>
      <c r="B76" s="101"/>
      <c r="C76" s="101"/>
      <c r="D76" s="272"/>
      <c r="E76" s="31"/>
      <c r="F76"/>
      <c r="H76" s="7"/>
      <c r="I76" s="7"/>
      <c r="J76" s="7"/>
    </row>
    <row r="77" spans="1:10" s="8" customFormat="1" ht="13.5" thickBot="1" x14ac:dyDescent="0.25">
      <c r="A77" s="9"/>
      <c r="B77" s="101"/>
      <c r="C77" s="101"/>
      <c r="D77" s="272"/>
      <c r="E77" s="31"/>
      <c r="F77" s="289"/>
      <c r="H77" s="7"/>
      <c r="I77" s="7"/>
      <c r="J77" s="7"/>
    </row>
    <row r="78" spans="1:10" s="8" customFormat="1" ht="13.5" thickBot="1" x14ac:dyDescent="0.25">
      <c r="A78" s="22" t="s">
        <v>202</v>
      </c>
      <c r="B78" s="26"/>
      <c r="C78" s="26"/>
      <c r="D78" s="27"/>
      <c r="E78" s="28"/>
      <c r="F78" s="20">
        <f>+F67+F75</f>
        <v>2818</v>
      </c>
      <c r="H78" s="7"/>
      <c r="I78" s="7"/>
      <c r="J78" s="7"/>
    </row>
    <row r="80" spans="1:10" s="8" customFormat="1" ht="13.5" thickBot="1" x14ac:dyDescent="0.25">
      <c r="A80" s="9" t="s">
        <v>334</v>
      </c>
      <c r="B80" s="7"/>
      <c r="C80" s="7"/>
      <c r="H80" s="7"/>
      <c r="I80" s="7"/>
      <c r="J80" s="7"/>
    </row>
    <row r="81" spans="1:10" s="8" customFormat="1" ht="13.5" hidden="1" thickBot="1" x14ac:dyDescent="0.25">
      <c r="A81" s="7"/>
      <c r="B81" s="7"/>
      <c r="C81" s="7"/>
      <c r="H81" s="7"/>
      <c r="I81" s="7"/>
      <c r="J81" s="7"/>
    </row>
    <row r="82" spans="1:10" s="8" customFormat="1" ht="13.5" thickBot="1" x14ac:dyDescent="0.25">
      <c r="A82" s="48" t="s">
        <v>59</v>
      </c>
      <c r="B82" s="49" t="s">
        <v>60</v>
      </c>
      <c r="C82" s="49" t="s">
        <v>36</v>
      </c>
      <c r="D82" s="50" t="s">
        <v>212</v>
      </c>
      <c r="E82" s="50" t="s">
        <v>61</v>
      </c>
      <c r="F82" s="51" t="s">
        <v>62</v>
      </c>
      <c r="H82" s="7"/>
      <c r="I82" s="7"/>
      <c r="J82" s="7"/>
    </row>
    <row r="83" spans="1:10" s="8" customFormat="1" ht="13.5" thickBot="1" x14ac:dyDescent="0.25">
      <c r="A83" s="11" t="s">
        <v>32</v>
      </c>
      <c r="B83" s="12" t="s">
        <v>2</v>
      </c>
      <c r="C83" s="120">
        <f>'4.BDI'!C20*100</f>
        <v>25.5</v>
      </c>
      <c r="D83" s="13">
        <f>+F78</f>
        <v>2818</v>
      </c>
      <c r="E83" s="13">
        <f>C83*D83/100</f>
        <v>718.59</v>
      </c>
      <c r="H83" s="7"/>
      <c r="I83" s="7"/>
      <c r="J83" s="7"/>
    </row>
    <row r="84" spans="1:10" s="8" customFormat="1" ht="13.5" thickBot="1" x14ac:dyDescent="0.25">
      <c r="A84" s="7"/>
      <c r="B84" s="7"/>
      <c r="C84" s="7"/>
      <c r="F84" s="19">
        <f>+E83</f>
        <v>718.59</v>
      </c>
      <c r="H84" s="7"/>
      <c r="I84" s="7"/>
      <c r="J84" s="7"/>
    </row>
    <row r="85" spans="1:10" s="8" customFormat="1" ht="13.5" thickBot="1" x14ac:dyDescent="0.25">
      <c r="A85" s="7"/>
      <c r="B85" s="7"/>
      <c r="C85" s="7"/>
      <c r="H85" s="7"/>
      <c r="I85" s="7"/>
      <c r="J85" s="7"/>
    </row>
    <row r="86" spans="1:10" s="8" customFormat="1" ht="13.5" thickBot="1" x14ac:dyDescent="0.25">
      <c r="A86" s="22" t="s">
        <v>217</v>
      </c>
      <c r="B86" s="26"/>
      <c r="C86" s="26"/>
      <c r="D86" s="27"/>
      <c r="E86" s="28"/>
      <c r="F86" s="20">
        <f>F84</f>
        <v>718.59</v>
      </c>
      <c r="H86" s="7"/>
      <c r="I86" s="7"/>
      <c r="J86" s="7"/>
    </row>
    <row r="87" spans="1:10" s="8" customFormat="1" hidden="1" x14ac:dyDescent="0.2">
      <c r="A87" s="9"/>
      <c r="B87" s="9"/>
      <c r="C87" s="9"/>
      <c r="D87" s="32"/>
      <c r="E87" s="32"/>
      <c r="F87" s="31"/>
      <c r="H87" s="7"/>
      <c r="I87" s="7"/>
      <c r="J87" s="7"/>
    </row>
    <row r="88" spans="1:10" s="8" customFormat="1" ht="13.5" thickBot="1" x14ac:dyDescent="0.25">
      <c r="A88" s="7"/>
      <c r="B88" s="7"/>
      <c r="C88" s="7"/>
      <c r="H88" s="7"/>
      <c r="I88" s="7"/>
      <c r="J88" s="7"/>
    </row>
    <row r="89" spans="1:10" s="8" customFormat="1" ht="13.5" thickBot="1" x14ac:dyDescent="0.25">
      <c r="A89" s="22" t="s">
        <v>203</v>
      </c>
      <c r="B89" s="26"/>
      <c r="C89" s="26"/>
      <c r="D89" s="27"/>
      <c r="E89" s="28"/>
      <c r="F89" s="20">
        <f>F78+F86</f>
        <v>3536.59</v>
      </c>
      <c r="H89" s="7"/>
      <c r="I89" s="7"/>
      <c r="J89" s="7"/>
    </row>
    <row r="92" spans="1:10" x14ac:dyDescent="0.2">
      <c r="A92"/>
      <c r="B92"/>
      <c r="C92"/>
      <c r="D92" s="347"/>
      <c r="E92" s="347"/>
      <c r="F92" s="347"/>
    </row>
    <row r="93" spans="1:10" x14ac:dyDescent="0.2">
      <c r="A93"/>
      <c r="B93"/>
      <c r="C93"/>
      <c r="D93"/>
      <c r="E93"/>
      <c r="F93"/>
    </row>
    <row r="94" spans="1:10" x14ac:dyDescent="0.2">
      <c r="A94" s="348"/>
      <c r="B94" s="348"/>
      <c r="C94" s="348"/>
      <c r="D94" s="348"/>
      <c r="E94" s="348"/>
      <c r="F94" s="348"/>
    </row>
    <row r="95" spans="1:10" x14ac:dyDescent="0.2">
      <c r="A95" s="348"/>
      <c r="B95" s="348"/>
      <c r="C95" s="348"/>
      <c r="D95" s="348"/>
      <c r="E95" s="348"/>
      <c r="F95" s="348"/>
    </row>
    <row r="96" spans="1:10" x14ac:dyDescent="0.2">
      <c r="A96" s="347"/>
      <c r="B96" s="347"/>
      <c r="C96" s="347"/>
      <c r="D96" s="347"/>
      <c r="E96" s="347"/>
      <c r="F96" s="347"/>
    </row>
    <row r="97" spans="1:6" x14ac:dyDescent="0.2">
      <c r="A97"/>
      <c r="B97"/>
      <c r="C97"/>
      <c r="D97"/>
      <c r="E97"/>
      <c r="F97"/>
    </row>
  </sheetData>
  <mergeCells count="12">
    <mergeCell ref="A2:F11"/>
    <mergeCell ref="A12:F13"/>
    <mergeCell ref="A14:F14"/>
    <mergeCell ref="A16:F16"/>
    <mergeCell ref="A27:F27"/>
    <mergeCell ref="A96:F96"/>
    <mergeCell ref="A38:E38"/>
    <mergeCell ref="A39:D39"/>
    <mergeCell ref="A25:F26"/>
    <mergeCell ref="D92:F92"/>
    <mergeCell ref="A94:F94"/>
    <mergeCell ref="A95:F95"/>
  </mergeCells>
  <conditionalFormatting sqref="F18:F22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3">
    <cfRule type="colorScale" priority="4">
      <colorScale>
        <cfvo type="min"/>
        <cfvo type="max"/>
        <color rgb="FFFCFCFF"/>
        <color rgb="FFF8696B"/>
      </colorScale>
    </cfRule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34">
    <cfRule type="colorScale" priority="92">
      <colorScale>
        <cfvo type="min"/>
        <cfvo type="max"/>
        <color rgb="FFFCFCFF"/>
        <color rgb="FFF8696B"/>
      </colorScale>
    </cfRule>
  </conditionalFormatting>
  <conditionalFormatting sqref="F30:F35">
    <cfRule type="colorScale" priority="94">
      <colorScale>
        <cfvo type="min"/>
        <cfvo type="max"/>
        <color rgb="FFFCFCFF"/>
        <color rgb="FFF8696B"/>
      </colorScale>
    </cfRule>
    <cfRule type="colorScale" priority="9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view="pageBreakPreview" topLeftCell="A27" zoomScaleNormal="100" zoomScaleSheetLayoutView="100" workbookViewId="0">
      <selection activeCell="K31" sqref="K31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2.85546875" style="7" bestFit="1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10.28515625" style="7" bestFit="1" customWidth="1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3" t="s">
        <v>282</v>
      </c>
      <c r="B2" s="324"/>
      <c r="C2" s="324"/>
      <c r="D2" s="324"/>
      <c r="E2" s="324"/>
      <c r="F2" s="324"/>
    </row>
    <row r="3" spans="1:7" hidden="1" x14ac:dyDescent="0.2">
      <c r="A3" s="324"/>
      <c r="B3" s="324"/>
      <c r="C3" s="324"/>
      <c r="D3" s="324"/>
      <c r="E3" s="324"/>
      <c r="F3" s="324"/>
    </row>
    <row r="4" spans="1:7" hidden="1" x14ac:dyDescent="0.2">
      <c r="A4" s="324"/>
      <c r="B4" s="324"/>
      <c r="C4" s="324"/>
      <c r="D4" s="324"/>
      <c r="E4" s="324"/>
      <c r="F4" s="324"/>
    </row>
    <row r="5" spans="1:7" s="2" customFormat="1" ht="15.6" hidden="1" customHeight="1" x14ac:dyDescent="0.2">
      <c r="A5" s="324"/>
      <c r="B5" s="324"/>
      <c r="C5" s="324"/>
      <c r="D5" s="324"/>
      <c r="E5" s="324"/>
      <c r="F5" s="324"/>
      <c r="G5" s="4"/>
    </row>
    <row r="6" spans="1:7" s="2" customFormat="1" ht="15.6" hidden="1" customHeight="1" x14ac:dyDescent="0.2">
      <c r="A6" s="324"/>
      <c r="B6" s="324"/>
      <c r="C6" s="324"/>
      <c r="D6" s="324"/>
      <c r="E6" s="324"/>
      <c r="F6" s="324"/>
      <c r="G6" s="4"/>
    </row>
    <row r="7" spans="1:7" s="2" customFormat="1" ht="15.6" hidden="1" customHeight="1" x14ac:dyDescent="0.2">
      <c r="A7" s="324"/>
      <c r="B7" s="324"/>
      <c r="C7" s="324"/>
      <c r="D7" s="324"/>
      <c r="E7" s="324"/>
      <c r="F7" s="324"/>
      <c r="G7" s="4"/>
    </row>
    <row r="8" spans="1:7" s="2" customFormat="1" ht="15.6" hidden="1" customHeight="1" x14ac:dyDescent="0.2">
      <c r="A8" s="324"/>
      <c r="B8" s="324"/>
      <c r="C8" s="324"/>
      <c r="D8" s="324"/>
      <c r="E8" s="324"/>
      <c r="F8" s="324"/>
      <c r="G8" s="4"/>
    </row>
    <row r="9" spans="1:7" s="2" customFormat="1" ht="15.6" hidden="1" customHeight="1" x14ac:dyDescent="0.2">
      <c r="A9" s="324"/>
      <c r="B9" s="324"/>
      <c r="C9" s="324"/>
      <c r="D9" s="324"/>
      <c r="E9" s="324"/>
      <c r="F9" s="324"/>
      <c r="G9" s="4"/>
    </row>
    <row r="10" spans="1:7" s="2" customFormat="1" ht="15.6" hidden="1" customHeight="1" x14ac:dyDescent="0.2">
      <c r="A10" s="324"/>
      <c r="B10" s="324"/>
      <c r="C10" s="324"/>
      <c r="D10" s="324"/>
      <c r="E10" s="324"/>
      <c r="F10" s="324"/>
      <c r="G10" s="4"/>
    </row>
    <row r="11" spans="1:7" s="2" customFormat="1" ht="16.5" hidden="1" customHeight="1" thickBot="1" x14ac:dyDescent="0.25">
      <c r="A11" s="325"/>
      <c r="B11" s="325"/>
      <c r="C11" s="325"/>
      <c r="D11" s="325"/>
      <c r="E11" s="325"/>
      <c r="F11" s="325"/>
      <c r="G11" s="4"/>
    </row>
    <row r="12" spans="1:7" s="6" customFormat="1" ht="18" customHeight="1" x14ac:dyDescent="0.2">
      <c r="A12" s="340" t="s">
        <v>332</v>
      </c>
      <c r="B12" s="340"/>
      <c r="C12" s="340"/>
      <c r="D12" s="340"/>
      <c r="E12" s="340"/>
      <c r="F12" s="340"/>
      <c r="G12" s="33"/>
    </row>
    <row r="13" spans="1:7" s="6" customFormat="1" ht="21.75" customHeight="1" x14ac:dyDescent="0.2">
      <c r="A13" s="341"/>
      <c r="B13" s="341"/>
      <c r="C13" s="341"/>
      <c r="D13" s="341"/>
      <c r="E13" s="341"/>
      <c r="F13" s="341"/>
      <c r="G13" s="33"/>
    </row>
    <row r="14" spans="1:7" s="6" customFormat="1" ht="21.75" customHeight="1" x14ac:dyDescent="0.2">
      <c r="A14" s="331" t="s">
        <v>39</v>
      </c>
      <c r="B14" s="332"/>
      <c r="C14" s="332"/>
      <c r="D14" s="332"/>
      <c r="E14" s="332"/>
      <c r="F14" s="333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7" t="s">
        <v>184</v>
      </c>
      <c r="B16" s="338"/>
      <c r="C16" s="338"/>
      <c r="D16" s="338"/>
      <c r="E16" s="338"/>
      <c r="F16" s="339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29899.663133602597</v>
      </c>
      <c r="F18" s="110">
        <f>E18/$E$22</f>
        <v>0.68939039767401333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3536.59</v>
      </c>
      <c r="F19" s="110">
        <f>E19/$E$22</f>
        <v>8.1542429946974943E-2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9934.9096131999995</v>
      </c>
      <c r="F20" s="110">
        <f>E20/$E$22</f>
        <v>0.22906717237901167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'1.4. DESTINAÇÃO'!E33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43371.162746802598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s="8" customFormat="1" ht="16.5" thickBot="1" x14ac:dyDescent="0.25">
      <c r="A24" s="283"/>
      <c r="B24" s="283"/>
      <c r="C24" s="283"/>
      <c r="D24" s="284"/>
      <c r="E24" s="284"/>
      <c r="F24" s="284"/>
      <c r="H24" s="7"/>
      <c r="I24" s="7"/>
      <c r="J24" s="7"/>
    </row>
    <row r="25" spans="1:10" s="8" customFormat="1" x14ac:dyDescent="0.2">
      <c r="A25" s="342" t="s">
        <v>296</v>
      </c>
      <c r="B25" s="342"/>
      <c r="C25" s="342"/>
      <c r="D25" s="342"/>
      <c r="E25" s="342"/>
      <c r="F25" s="342"/>
      <c r="H25" s="7"/>
      <c r="I25" s="7"/>
      <c r="J25" s="7"/>
    </row>
    <row r="26" spans="1:10" s="8" customFormat="1" x14ac:dyDescent="0.2">
      <c r="A26" s="343"/>
      <c r="B26" s="343"/>
      <c r="C26" s="343"/>
      <c r="D26" s="343"/>
      <c r="E26" s="343"/>
      <c r="F26" s="343"/>
      <c r="H26" s="7"/>
      <c r="I26" s="7"/>
      <c r="J26" s="7"/>
    </row>
    <row r="27" spans="1:10" s="8" customFormat="1" ht="15.75" thickBot="1" x14ac:dyDescent="0.25">
      <c r="A27" s="344" t="s">
        <v>297</v>
      </c>
      <c r="B27" s="345"/>
      <c r="C27" s="345"/>
      <c r="D27" s="345"/>
      <c r="E27" s="345"/>
      <c r="F27" s="346"/>
      <c r="H27" s="7"/>
      <c r="I27" s="7"/>
      <c r="J27" s="7"/>
    </row>
    <row r="28" spans="1:10" s="8" customFormat="1" ht="16.5" thickBot="1" x14ac:dyDescent="0.25">
      <c r="A28" s="337" t="s">
        <v>184</v>
      </c>
      <c r="B28" s="338"/>
      <c r="C28" s="338"/>
      <c r="D28" s="338"/>
      <c r="E28" s="338"/>
      <c r="F28" s="339"/>
      <c r="H28" s="7"/>
      <c r="I28" s="7"/>
      <c r="J28" s="7"/>
    </row>
    <row r="29" spans="1:10" s="8" customFormat="1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H29" s="7"/>
      <c r="I29" s="7"/>
      <c r="J29" s="7"/>
    </row>
    <row r="30" spans="1:10" s="8" customFormat="1" x14ac:dyDescent="0.2">
      <c r="A30" s="107" t="str">
        <f>A57</f>
        <v>1. Mão-de-obra</v>
      </c>
      <c r="B30" s="108"/>
      <c r="C30" s="109"/>
      <c r="D30" s="109"/>
      <c r="E30" s="213">
        <f>+F77</f>
        <v>0</v>
      </c>
      <c r="F30" s="110">
        <f t="shared" ref="F30:F40" si="0">IFERROR(E30/$E$43,0)</f>
        <v>0</v>
      </c>
      <c r="H30" s="7"/>
      <c r="I30" s="7"/>
      <c r="J30" s="7"/>
    </row>
    <row r="31" spans="1:10" s="8" customFormat="1" x14ac:dyDescent="0.2">
      <c r="A31" s="41" t="str">
        <f>A59</f>
        <v>1.1. Motorista Turno do Dia</v>
      </c>
      <c r="B31" s="38"/>
      <c r="C31" s="39"/>
      <c r="D31" s="39"/>
      <c r="E31" s="214">
        <f>F69</f>
        <v>0</v>
      </c>
      <c r="F31" s="110">
        <f t="shared" si="0"/>
        <v>0</v>
      </c>
      <c r="H31" s="7"/>
      <c r="I31" s="7"/>
      <c r="J31" s="7"/>
    </row>
    <row r="32" spans="1:10" s="8" customFormat="1" x14ac:dyDescent="0.2">
      <c r="A32" s="41" t="str">
        <f>A72</f>
        <v>1.2. Auxílio Alimentação (mensal)</v>
      </c>
      <c r="B32" s="38"/>
      <c r="C32" s="39"/>
      <c r="D32" s="39"/>
      <c r="E32" s="214">
        <f>F75</f>
        <v>0</v>
      </c>
      <c r="F32" s="110">
        <f t="shared" si="0"/>
        <v>0</v>
      </c>
      <c r="H32" s="7"/>
      <c r="I32" s="7"/>
      <c r="J32" s="7"/>
    </row>
    <row r="33" spans="1:10" s="8" customFormat="1" x14ac:dyDescent="0.2">
      <c r="A33" s="329" t="str">
        <f>A79</f>
        <v>2. Uniformes e Equipamentos de Proteção Individual</v>
      </c>
      <c r="B33" s="330"/>
      <c r="C33" s="330"/>
      <c r="D33" s="109"/>
      <c r="E33" s="213">
        <f>+F94</f>
        <v>0</v>
      </c>
      <c r="F33" s="110">
        <f t="shared" si="0"/>
        <v>0</v>
      </c>
      <c r="H33" s="7"/>
      <c r="I33" s="7"/>
      <c r="J33" s="7"/>
    </row>
    <row r="34" spans="1:10" s="8" customFormat="1" x14ac:dyDescent="0.2">
      <c r="A34" s="118" t="str">
        <f>A96</f>
        <v>3. Veículos e Equipamentos</v>
      </c>
      <c r="B34" s="280"/>
      <c r="C34" s="109"/>
      <c r="D34" s="109"/>
      <c r="E34" s="213">
        <f>F163</f>
        <v>7916.2626399999999</v>
      </c>
      <c r="F34" s="110">
        <f t="shared" si="0"/>
        <v>0.79681274900398413</v>
      </c>
      <c r="H34" s="7"/>
      <c r="I34" s="7"/>
      <c r="J34" s="7"/>
    </row>
    <row r="35" spans="1:10" s="8" customFormat="1" x14ac:dyDescent="0.2">
      <c r="A35" s="53" t="str">
        <f>A100</f>
        <v>3.1.1. Depreciação</v>
      </c>
      <c r="B35" s="281"/>
      <c r="C35" s="39"/>
      <c r="D35" s="39"/>
      <c r="E35" s="214">
        <f>F109</f>
        <v>0</v>
      </c>
      <c r="F35" s="110">
        <f t="shared" si="0"/>
        <v>0</v>
      </c>
      <c r="H35" s="7"/>
      <c r="I35" s="7"/>
      <c r="J35" s="7"/>
    </row>
    <row r="36" spans="1:10" s="8" customFormat="1" x14ac:dyDescent="0.2">
      <c r="A36" s="53" t="str">
        <f>A111</f>
        <v>3.1.2. Remuneração do Capital</v>
      </c>
      <c r="B36" s="281"/>
      <c r="C36" s="39"/>
      <c r="D36" s="39"/>
      <c r="E36" s="214">
        <f>F120</f>
        <v>0</v>
      </c>
      <c r="F36" s="110">
        <f t="shared" si="0"/>
        <v>0</v>
      </c>
      <c r="H36" s="7"/>
      <c r="I36" s="7"/>
      <c r="J36" s="7"/>
    </row>
    <row r="37" spans="1:10" s="8" customFormat="1" x14ac:dyDescent="0.2">
      <c r="A37" s="53" t="str">
        <f>A122</f>
        <v>3.1.3. Impostos e Seguros</v>
      </c>
      <c r="B37" s="281"/>
      <c r="C37" s="39"/>
      <c r="D37" s="39"/>
      <c r="E37" s="214">
        <f>F128</f>
        <v>0</v>
      </c>
      <c r="F37" s="110">
        <f t="shared" si="0"/>
        <v>0</v>
      </c>
      <c r="H37" s="7"/>
      <c r="I37" s="7"/>
      <c r="J37" s="7"/>
    </row>
    <row r="38" spans="1:10" s="8" customFormat="1" x14ac:dyDescent="0.2">
      <c r="A38" s="53" t="str">
        <f>A130</f>
        <v>3.1.4. Consumos</v>
      </c>
      <c r="B38" s="281"/>
      <c r="C38" s="39"/>
      <c r="D38" s="39"/>
      <c r="E38" s="214">
        <f>F146</f>
        <v>3883.66264</v>
      </c>
      <c r="F38" s="110">
        <f t="shared" si="0"/>
        <v>0.39091071697723134</v>
      </c>
      <c r="H38" s="7"/>
      <c r="I38" s="7"/>
      <c r="J38" s="7"/>
    </row>
    <row r="39" spans="1:10" s="8" customFormat="1" x14ac:dyDescent="0.2">
      <c r="A39" s="53" t="str">
        <f>A148</f>
        <v>3.1.5. Manutenção</v>
      </c>
      <c r="B39" s="281"/>
      <c r="C39" s="39"/>
      <c r="D39" s="39"/>
      <c r="E39" s="214">
        <f>F151</f>
        <v>4032.6</v>
      </c>
      <c r="F39" s="110">
        <f t="shared" si="0"/>
        <v>0.40590203202675273</v>
      </c>
      <c r="H39" s="7"/>
      <c r="I39" s="7"/>
      <c r="J39" s="7"/>
    </row>
    <row r="40" spans="1:10" s="8" customFormat="1" x14ac:dyDescent="0.2">
      <c r="A40" s="53" t="str">
        <f>A153</f>
        <v>3.1.6. Pneus</v>
      </c>
      <c r="B40" s="281"/>
      <c r="C40" s="39"/>
      <c r="D40" s="39"/>
      <c r="E40" s="214">
        <f>F160</f>
        <v>0</v>
      </c>
      <c r="F40" s="110">
        <f t="shared" si="0"/>
        <v>0</v>
      </c>
      <c r="H40" s="7"/>
      <c r="I40" s="7"/>
      <c r="J40" s="7"/>
    </row>
    <row r="41" spans="1:10" s="8" customFormat="1" x14ac:dyDescent="0.2">
      <c r="A41" s="118" t="str">
        <f>A168</f>
        <v>4. Monitoramento da Frota</v>
      </c>
      <c r="B41" s="281"/>
      <c r="C41" s="39"/>
      <c r="D41" s="39"/>
      <c r="E41" s="214">
        <f>F175</f>
        <v>0</v>
      </c>
      <c r="F41" s="110">
        <f>IFERROR(E41/$E$43,0)</f>
        <v>0</v>
      </c>
      <c r="H41" s="7"/>
      <c r="I41" s="7"/>
      <c r="J41" s="7"/>
    </row>
    <row r="42" spans="1:10" s="8" customFormat="1" ht="13.5" thickBot="1" x14ac:dyDescent="0.25">
      <c r="A42" s="118" t="str">
        <f>A182</f>
        <v>5. Benefícios e Despesas Indiretas - BDI</v>
      </c>
      <c r="B42" s="280"/>
      <c r="C42" s="109"/>
      <c r="D42" s="109"/>
      <c r="E42" s="215">
        <f>+F187</f>
        <v>2018.6469732</v>
      </c>
      <c r="F42" s="110">
        <f>IFERROR(E42/$E$43,0)</f>
        <v>0.20318725099601595</v>
      </c>
      <c r="H42" s="7"/>
      <c r="I42" s="7"/>
      <c r="J42" s="7"/>
    </row>
    <row r="43" spans="1:10" s="8" customFormat="1" ht="13.5" thickBot="1" x14ac:dyDescent="0.25">
      <c r="A43" s="36" t="s">
        <v>298</v>
      </c>
      <c r="B43" s="282"/>
      <c r="C43" s="24"/>
      <c r="D43" s="24"/>
      <c r="E43" s="98">
        <f>E30+E33+E34+E42</f>
        <v>9934.9096131999995</v>
      </c>
      <c r="F43" s="121">
        <f>F30+F33+F34+F42</f>
        <v>1</v>
      </c>
      <c r="H43" s="7"/>
      <c r="I43" s="7"/>
      <c r="J43" s="7"/>
    </row>
    <row r="45" spans="1:10" s="8" customFormat="1" ht="13.5" thickBot="1" x14ac:dyDescent="0.25">
      <c r="A45" s="7"/>
      <c r="B45" s="7"/>
      <c r="C45" s="7"/>
      <c r="H45" s="7"/>
      <c r="I45" s="7"/>
      <c r="J45" s="7"/>
    </row>
    <row r="46" spans="1:10" s="8" customFormat="1" ht="16.5" thickBot="1" x14ac:dyDescent="0.25">
      <c r="A46" s="337" t="s">
        <v>90</v>
      </c>
      <c r="B46" s="338"/>
      <c r="C46" s="338"/>
      <c r="D46" s="338"/>
      <c r="E46" s="339"/>
      <c r="H46" s="7"/>
      <c r="I46" s="7"/>
      <c r="J46" s="7"/>
    </row>
    <row r="47" spans="1:10" s="8" customFormat="1" ht="13.5" thickBot="1" x14ac:dyDescent="0.25">
      <c r="A47" s="334" t="s">
        <v>35</v>
      </c>
      <c r="B47" s="335"/>
      <c r="C47" s="335"/>
      <c r="D47" s="336"/>
      <c r="E47" s="40" t="s">
        <v>36</v>
      </c>
      <c r="H47" s="7"/>
      <c r="I47" s="7"/>
      <c r="J47" s="7"/>
    </row>
    <row r="48" spans="1:10" s="8" customFormat="1" x14ac:dyDescent="0.2">
      <c r="A48" s="266" t="str">
        <f>+A59</f>
        <v>1.1. Motorista Turno do Dia</v>
      </c>
      <c r="B48" s="60"/>
      <c r="C48" s="60"/>
      <c r="D48" s="61"/>
      <c r="E48" s="62">
        <f>C68</f>
        <v>0</v>
      </c>
      <c r="H48" s="7"/>
      <c r="I48" s="7"/>
      <c r="J48" s="7"/>
    </row>
    <row r="49" spans="1:10" s="8" customFormat="1" ht="13.5" thickBot="1" x14ac:dyDescent="0.25">
      <c r="A49" s="58" t="s">
        <v>55</v>
      </c>
      <c r="B49" s="59"/>
      <c r="C49" s="59"/>
      <c r="D49" s="64"/>
      <c r="E49" s="65">
        <f>SUM(E48:E48)</f>
        <v>0</v>
      </c>
      <c r="H49" s="7"/>
      <c r="I49" s="7"/>
      <c r="J49" s="7"/>
    </row>
    <row r="50" spans="1:10" s="8" customFormat="1" ht="13.5" thickBot="1" x14ac:dyDescent="0.25">
      <c r="A50" s="111"/>
      <c r="B50" s="112"/>
      <c r="C50" s="47"/>
      <c r="D50" s="47"/>
      <c r="E50" s="113"/>
      <c r="H50" s="7"/>
      <c r="I50" s="7"/>
      <c r="J50" s="7"/>
    </row>
    <row r="51" spans="1:10" s="8" customFormat="1" x14ac:dyDescent="0.2">
      <c r="A51" s="326" t="s">
        <v>52</v>
      </c>
      <c r="B51" s="327"/>
      <c r="C51" s="327"/>
      <c r="D51" s="328"/>
      <c r="E51" s="40" t="s">
        <v>36</v>
      </c>
      <c r="F51" s="7"/>
      <c r="H51" s="7"/>
      <c r="I51" s="7"/>
      <c r="J51" s="7"/>
    </row>
    <row r="52" spans="1:10" s="8" customFormat="1" ht="13.5" thickBot="1" x14ac:dyDescent="0.25">
      <c r="A52" s="290" t="str">
        <f>A98</f>
        <v>3.1. Veículo 6x2 Coletor Compactador 19 m³</v>
      </c>
      <c r="B52" s="115"/>
      <c r="C52" s="115"/>
      <c r="D52" s="116"/>
      <c r="E52" s="291">
        <f>C108</f>
        <v>1</v>
      </c>
      <c r="F52" s="7"/>
      <c r="H52" s="7"/>
      <c r="I52" s="7"/>
      <c r="J52" s="7"/>
    </row>
    <row r="53" spans="1:10" s="8" customFormat="1" x14ac:dyDescent="0.2">
      <c r="A53" s="47"/>
      <c r="B53" s="47"/>
      <c r="C53" s="47"/>
      <c r="D53" s="7"/>
      <c r="E53" s="212"/>
      <c r="F53" s="7"/>
      <c r="H53" s="7"/>
      <c r="I53" s="7"/>
      <c r="J53" s="7"/>
    </row>
    <row r="54" spans="1:10" s="8" customFormat="1" ht="13.5" thickBot="1" x14ac:dyDescent="0.25">
      <c r="A54" s="47"/>
      <c r="B54" s="47"/>
      <c r="C54" s="47"/>
      <c r="D54" s="7"/>
      <c r="E54" s="55"/>
      <c r="F54" s="7"/>
      <c r="H54" s="7"/>
      <c r="I54" s="7"/>
      <c r="J54" s="7"/>
    </row>
    <row r="55" spans="1:10" s="8" customFormat="1" ht="13.5" thickBot="1" x14ac:dyDescent="0.25">
      <c r="A55" s="217" t="s">
        <v>180</v>
      </c>
      <c r="B55" s="293">
        <v>0.4</v>
      </c>
      <c r="C55" s="32"/>
      <c r="D55" s="9"/>
      <c r="E55" s="130"/>
      <c r="F55" s="9"/>
      <c r="H55" s="7"/>
      <c r="I55" s="7"/>
      <c r="J55" s="7"/>
    </row>
    <row r="56" spans="1:10" s="8" customFormat="1" x14ac:dyDescent="0.2">
      <c r="A56" s="47"/>
      <c r="B56" s="47"/>
      <c r="C56" s="47"/>
      <c r="D56" s="7"/>
      <c r="E56" s="55"/>
      <c r="F56" s="7"/>
      <c r="H56" s="7"/>
      <c r="I56" s="7"/>
      <c r="J56" s="7"/>
    </row>
    <row r="57" spans="1:10" s="8" customFormat="1" x14ac:dyDescent="0.2">
      <c r="A57" s="9" t="s">
        <v>43</v>
      </c>
      <c r="B57" s="7"/>
      <c r="C57" s="7"/>
      <c r="H57" s="7"/>
      <c r="I57" s="7"/>
      <c r="J57" s="7"/>
    </row>
    <row r="58" spans="1:10" hidden="1" x14ac:dyDescent="0.2"/>
    <row r="59" spans="1:10" s="8" customFormat="1" ht="13.5" thickBot="1" x14ac:dyDescent="0.25">
      <c r="A59" s="5" t="s">
        <v>336</v>
      </c>
      <c r="B59" s="7"/>
      <c r="C59" s="7"/>
      <c r="H59" s="7"/>
      <c r="I59" s="7"/>
      <c r="J59" s="7"/>
    </row>
    <row r="60" spans="1:10" s="8" customFormat="1" ht="13.5" thickBot="1" x14ac:dyDescent="0.25">
      <c r="A60" s="48" t="s">
        <v>59</v>
      </c>
      <c r="B60" s="49" t="s">
        <v>60</v>
      </c>
      <c r="C60" s="49" t="s">
        <v>36</v>
      </c>
      <c r="D60" s="50" t="s">
        <v>212</v>
      </c>
      <c r="E60" s="50" t="s">
        <v>61</v>
      </c>
      <c r="F60" s="51" t="s">
        <v>62</v>
      </c>
      <c r="H60" s="7"/>
      <c r="I60" s="7"/>
      <c r="J60" s="7"/>
    </row>
    <row r="61" spans="1:10" s="8" customFormat="1" x14ac:dyDescent="0.2">
      <c r="A61" s="255" t="s">
        <v>261</v>
      </c>
      <c r="B61" s="12" t="s">
        <v>8</v>
      </c>
      <c r="C61" s="12">
        <v>1</v>
      </c>
      <c r="D61" s="71"/>
      <c r="E61" s="13">
        <f>C61*D61</f>
        <v>0</v>
      </c>
      <c r="H61" s="7"/>
      <c r="I61" s="7"/>
      <c r="J61" s="7"/>
    </row>
    <row r="62" spans="1:10" s="8" customFormat="1" x14ac:dyDescent="0.2">
      <c r="A62" s="255" t="s">
        <v>262</v>
      </c>
      <c r="B62" s="12" t="s">
        <v>8</v>
      </c>
      <c r="C62" s="12">
        <v>1</v>
      </c>
      <c r="D62" s="71"/>
      <c r="E62" s="13"/>
      <c r="H62" s="7"/>
      <c r="I62" s="7"/>
      <c r="J62" s="7"/>
    </row>
    <row r="63" spans="1:10" s="8" customFormat="1" x14ac:dyDescent="0.2">
      <c r="A63" s="14" t="s">
        <v>193</v>
      </c>
      <c r="B63" s="15"/>
      <c r="C63" s="74"/>
      <c r="D63" s="16"/>
      <c r="E63" s="16"/>
      <c r="H63" s="7"/>
      <c r="I63" s="7"/>
      <c r="J63" s="7"/>
    </row>
    <row r="64" spans="1:10" s="8" customFormat="1" x14ac:dyDescent="0.2">
      <c r="A64" s="14" t="s">
        <v>1</v>
      </c>
      <c r="B64" s="15" t="s">
        <v>2</v>
      </c>
      <c r="C64" s="70"/>
      <c r="D64" s="67">
        <f>IF(C63=2,SUM(E61:E62),IF(C63=1,(SUM(E61:E62))*D62/D61,0))</f>
        <v>0</v>
      </c>
      <c r="E64" s="16">
        <f>C64*D64/100</f>
        <v>0</v>
      </c>
      <c r="H64" s="7"/>
      <c r="I64" s="7"/>
      <c r="J64" s="7"/>
    </row>
    <row r="65" spans="1:10" s="8" customFormat="1" x14ac:dyDescent="0.2">
      <c r="A65" s="86" t="s">
        <v>3</v>
      </c>
      <c r="B65" s="101"/>
      <c r="C65" s="101"/>
      <c r="D65" s="102"/>
      <c r="E65" s="88">
        <f>SUM(E61:E64)</f>
        <v>0</v>
      </c>
      <c r="F65" s="37"/>
      <c r="H65" s="7"/>
      <c r="I65" s="7"/>
      <c r="J65" s="7"/>
    </row>
    <row r="66" spans="1:10" s="8" customFormat="1" x14ac:dyDescent="0.2">
      <c r="A66" s="14" t="s">
        <v>4</v>
      </c>
      <c r="B66" s="15" t="s">
        <v>2</v>
      </c>
      <c r="C66" s="120">
        <f>'2.Encargos Sociais'!$C$37*100</f>
        <v>70.356014999999999</v>
      </c>
      <c r="D66" s="16">
        <f>E65</f>
        <v>0</v>
      </c>
      <c r="E66" s="16">
        <f>D66*C66/100</f>
        <v>0</v>
      </c>
      <c r="H66" s="7"/>
      <c r="I66" s="7"/>
      <c r="J66" s="7"/>
    </row>
    <row r="67" spans="1:10" s="8" customFormat="1" x14ac:dyDescent="0.2">
      <c r="A67" s="86" t="s">
        <v>227</v>
      </c>
      <c r="B67" s="223"/>
      <c r="C67" s="223"/>
      <c r="D67" s="224"/>
      <c r="E67" s="88">
        <f>E65+E66</f>
        <v>0</v>
      </c>
      <c r="F67" s="37"/>
      <c r="H67" s="7"/>
      <c r="I67" s="7"/>
      <c r="J67" s="7"/>
    </row>
    <row r="68" spans="1:10" s="8" customFormat="1" ht="13.5" thickBot="1" x14ac:dyDescent="0.25">
      <c r="A68" s="14" t="s">
        <v>5</v>
      </c>
      <c r="B68" s="15" t="s">
        <v>6</v>
      </c>
      <c r="C68" s="70"/>
      <c r="D68" s="16">
        <f>E67</f>
        <v>0</v>
      </c>
      <c r="E68" s="16">
        <f>C68*D68</f>
        <v>0</v>
      </c>
      <c r="H68" s="7"/>
      <c r="I68" s="7"/>
      <c r="J68" s="7"/>
    </row>
    <row r="69" spans="1:10" s="8" customFormat="1" ht="13.5" thickBot="1" x14ac:dyDescent="0.25">
      <c r="A69" s="7"/>
      <c r="B69" s="7"/>
      <c r="C69" s="7"/>
      <c r="D69" s="105" t="s">
        <v>179</v>
      </c>
      <c r="E69" s="42">
        <f>$B$55</f>
        <v>0.4</v>
      </c>
      <c r="F69" s="106">
        <f>E68*E69</f>
        <v>0</v>
      </c>
      <c r="H69" s="7"/>
      <c r="I69" s="7"/>
      <c r="J69" s="7"/>
    </row>
    <row r="70" spans="1:10" s="8" customFormat="1" hidden="1" x14ac:dyDescent="0.2">
      <c r="A70" s="7"/>
      <c r="B70" s="7"/>
      <c r="C70" s="7"/>
      <c r="D70"/>
      <c r="E70"/>
      <c r="F70"/>
      <c r="H70" s="7"/>
      <c r="I70" s="7"/>
      <c r="J70" s="7"/>
    </row>
    <row r="71" spans="1:10" hidden="1" x14ac:dyDescent="0.2"/>
    <row r="72" spans="1:10" s="8" customFormat="1" ht="13.5" thickBot="1" x14ac:dyDescent="0.25">
      <c r="A72" s="5" t="s">
        <v>316</v>
      </c>
      <c r="B72" s="7"/>
      <c r="C72" s="7"/>
      <c r="F72" s="21"/>
      <c r="H72" s="7"/>
      <c r="I72" s="7"/>
      <c r="J72" s="7"/>
    </row>
    <row r="73" spans="1:10" s="8" customFormat="1" ht="13.5" thickBot="1" x14ac:dyDescent="0.25">
      <c r="A73" s="48" t="s">
        <v>59</v>
      </c>
      <c r="B73" s="49" t="s">
        <v>60</v>
      </c>
      <c r="C73" s="49" t="s">
        <v>36</v>
      </c>
      <c r="D73" s="50" t="s">
        <v>212</v>
      </c>
      <c r="E73" s="50" t="s">
        <v>61</v>
      </c>
      <c r="F73" s="51" t="s">
        <v>62</v>
      </c>
      <c r="H73" s="7"/>
      <c r="I73" s="7"/>
      <c r="J73" s="7"/>
    </row>
    <row r="74" spans="1:10" s="8" customFormat="1" ht="13.5" thickBot="1" x14ac:dyDescent="0.25">
      <c r="A74" s="5" t="s">
        <v>286</v>
      </c>
      <c r="B74" s="15" t="s">
        <v>10</v>
      </c>
      <c r="C74" s="85">
        <v>1</v>
      </c>
      <c r="D74" s="73"/>
      <c r="E74" s="42">
        <f>C74*D74</f>
        <v>0</v>
      </c>
      <c r="F74" s="21"/>
      <c r="H74" s="7"/>
      <c r="I74" s="7"/>
      <c r="J74" s="7"/>
    </row>
    <row r="75" spans="1:10" s="8" customFormat="1" ht="13.5" thickBot="1" x14ac:dyDescent="0.25">
      <c r="A75" s="7"/>
      <c r="B75" s="7"/>
      <c r="C75" s="7"/>
      <c r="D75" s="105" t="s">
        <v>179</v>
      </c>
      <c r="E75" s="42">
        <f>B55</f>
        <v>0.4</v>
      </c>
      <c r="F75" s="20">
        <f>SUM(E74:E74)*E75</f>
        <v>0</v>
      </c>
      <c r="H75" s="7"/>
      <c r="I75" s="7"/>
      <c r="J75" s="7"/>
    </row>
    <row r="76" spans="1:10" s="8" customFormat="1" ht="13.5" thickBot="1" x14ac:dyDescent="0.25">
      <c r="A76" s="7"/>
      <c r="B76" s="7"/>
      <c r="C76" s="7"/>
      <c r="H76" s="7"/>
      <c r="I76" s="7"/>
      <c r="J76" s="7"/>
    </row>
    <row r="77" spans="1:10" s="8" customFormat="1" ht="13.5" thickBot="1" x14ac:dyDescent="0.25">
      <c r="A77" s="22" t="s">
        <v>88</v>
      </c>
      <c r="B77" s="23"/>
      <c r="C77" s="23"/>
      <c r="D77" s="24"/>
      <c r="E77" s="25"/>
      <c r="F77" s="20">
        <f>F75+F69</f>
        <v>0</v>
      </c>
      <c r="H77" s="7"/>
      <c r="I77" s="7"/>
      <c r="J77" s="7"/>
    </row>
    <row r="79" spans="1:10" s="8" customFormat="1" x14ac:dyDescent="0.2">
      <c r="A79" s="9" t="s">
        <v>41</v>
      </c>
      <c r="B79" s="7"/>
      <c r="C79" s="7"/>
      <c r="H79" s="7"/>
      <c r="I79" s="7"/>
      <c r="J79" s="7"/>
    </row>
    <row r="81" spans="1:10" s="8" customFormat="1" x14ac:dyDescent="0.2">
      <c r="A81" s="5" t="s">
        <v>299</v>
      </c>
      <c r="B81" s="7"/>
      <c r="C81" s="7"/>
      <c r="H81" s="7"/>
      <c r="I81" s="7"/>
      <c r="J81" s="7"/>
    </row>
    <row r="82" spans="1:10" s="8" customFormat="1" ht="13.5" thickBot="1" x14ac:dyDescent="0.25">
      <c r="A82" s="7"/>
      <c r="B82" s="7"/>
      <c r="C82" s="7"/>
      <c r="H82" s="7"/>
      <c r="I82" s="7"/>
      <c r="J82" s="7"/>
    </row>
    <row r="83" spans="1:10" s="8" customFormat="1" ht="24.75" thickBot="1" x14ac:dyDescent="0.25">
      <c r="A83" s="48" t="s">
        <v>59</v>
      </c>
      <c r="B83" s="49" t="s">
        <v>60</v>
      </c>
      <c r="C83" s="225" t="s">
        <v>228</v>
      </c>
      <c r="D83" s="50" t="s">
        <v>212</v>
      </c>
      <c r="E83" s="50" t="s">
        <v>61</v>
      </c>
      <c r="F83" s="51" t="s">
        <v>62</v>
      </c>
      <c r="H83" s="7"/>
      <c r="I83" s="7"/>
      <c r="J83" s="7"/>
    </row>
    <row r="84" spans="1:10" s="8" customFormat="1" x14ac:dyDescent="0.2">
      <c r="A84" s="11" t="s">
        <v>63</v>
      </c>
      <c r="B84" s="12" t="s">
        <v>10</v>
      </c>
      <c r="C84" s="278"/>
      <c r="D84" s="13">
        <v>155</v>
      </c>
      <c r="E84" s="13">
        <f t="shared" ref="E84:E90" si="1">IFERROR(D84/C84,0)</f>
        <v>0</v>
      </c>
      <c r="H84" s="7"/>
      <c r="I84" s="7"/>
      <c r="J84" s="7"/>
    </row>
    <row r="85" spans="1:10" s="8" customFormat="1" x14ac:dyDescent="0.2">
      <c r="A85" s="14" t="s">
        <v>25</v>
      </c>
      <c r="B85" s="15" t="s">
        <v>10</v>
      </c>
      <c r="C85" s="278"/>
      <c r="D85" s="16">
        <v>70.266666666666666</v>
      </c>
      <c r="E85" s="13">
        <f t="shared" si="1"/>
        <v>0</v>
      </c>
      <c r="H85" s="7"/>
      <c r="I85" s="7"/>
      <c r="J85" s="7"/>
    </row>
    <row r="86" spans="1:10" s="8" customFormat="1" x14ac:dyDescent="0.2">
      <c r="A86" s="14" t="s">
        <v>26</v>
      </c>
      <c r="B86" s="15" t="s">
        <v>10</v>
      </c>
      <c r="C86" s="278"/>
      <c r="D86" s="16">
        <v>41.4</v>
      </c>
      <c r="E86" s="13">
        <f t="shared" si="1"/>
        <v>0</v>
      </c>
      <c r="H86" s="7"/>
      <c r="I86" s="7"/>
      <c r="J86" s="7"/>
    </row>
    <row r="87" spans="1:10" s="8" customFormat="1" x14ac:dyDescent="0.2">
      <c r="A87" s="14" t="s">
        <v>65</v>
      </c>
      <c r="B87" s="15" t="s">
        <v>44</v>
      </c>
      <c r="C87" s="278"/>
      <c r="D87" s="16">
        <v>126.49333333333334</v>
      </c>
      <c r="E87" s="13">
        <f t="shared" si="1"/>
        <v>0</v>
      </c>
      <c r="H87" s="7"/>
      <c r="I87" s="7"/>
      <c r="J87" s="7"/>
    </row>
    <row r="88" spans="1:10" s="8" customFormat="1" x14ac:dyDescent="0.2">
      <c r="A88" s="14" t="s">
        <v>64</v>
      </c>
      <c r="B88" s="15" t="s">
        <v>10</v>
      </c>
      <c r="C88" s="278"/>
      <c r="D88" s="16">
        <v>57.273333333333333</v>
      </c>
      <c r="E88" s="13">
        <f t="shared" si="1"/>
        <v>0</v>
      </c>
      <c r="H88" s="7"/>
      <c r="I88" s="7"/>
      <c r="J88" s="7"/>
    </row>
    <row r="89" spans="1:10" s="8" customFormat="1" x14ac:dyDescent="0.2">
      <c r="A89" s="262" t="s">
        <v>273</v>
      </c>
      <c r="B89" s="15" t="s">
        <v>45</v>
      </c>
      <c r="C89" s="278"/>
      <c r="D89" s="16">
        <v>13.316666666666668</v>
      </c>
      <c r="E89" s="13">
        <f t="shared" si="1"/>
        <v>0</v>
      </c>
      <c r="H89" s="7"/>
      <c r="I89" s="7"/>
      <c r="J89" s="7"/>
    </row>
    <row r="90" spans="1:10" s="8" customFormat="1" x14ac:dyDescent="0.2">
      <c r="A90" s="262" t="s">
        <v>278</v>
      </c>
      <c r="B90" s="270" t="s">
        <v>279</v>
      </c>
      <c r="C90" s="278"/>
      <c r="D90" s="16">
        <v>12</v>
      </c>
      <c r="E90" s="13">
        <f t="shared" si="1"/>
        <v>0</v>
      </c>
      <c r="H90" s="7"/>
      <c r="I90" s="7"/>
      <c r="J90" s="7"/>
    </row>
    <row r="91" spans="1:10" s="8" customFormat="1" ht="13.5" thickBot="1" x14ac:dyDescent="0.25">
      <c r="A91" s="14" t="s">
        <v>5</v>
      </c>
      <c r="B91" s="15" t="s">
        <v>6</v>
      </c>
      <c r="C91" s="56">
        <v>1</v>
      </c>
      <c r="D91" s="16">
        <f>+SUM(E84:E90)</f>
        <v>0</v>
      </c>
      <c r="E91" s="16">
        <f>C91*D91</f>
        <v>0</v>
      </c>
      <c r="H91" s="7"/>
      <c r="I91" s="7"/>
      <c r="J91" s="7"/>
    </row>
    <row r="92" spans="1:10" s="8" customFormat="1" ht="13.5" thickBot="1" x14ac:dyDescent="0.25">
      <c r="A92" s="7"/>
      <c r="B92" s="7"/>
      <c r="C92" s="7"/>
      <c r="D92" s="105" t="s">
        <v>179</v>
      </c>
      <c r="E92" s="42">
        <f>B55</f>
        <v>0.4</v>
      </c>
      <c r="F92" s="106">
        <f>E91*E92</f>
        <v>0</v>
      </c>
      <c r="H92" s="7"/>
      <c r="I92" s="7"/>
      <c r="J92" s="7"/>
    </row>
    <row r="93" spans="1:10" ht="13.5" thickBot="1" x14ac:dyDescent="0.25"/>
    <row r="94" spans="1:10" s="8" customFormat="1" ht="13.5" thickBot="1" x14ac:dyDescent="0.25">
      <c r="A94" s="22" t="s">
        <v>182</v>
      </c>
      <c r="B94" s="26"/>
      <c r="C94" s="26"/>
      <c r="D94" s="27"/>
      <c r="E94" s="28"/>
      <c r="F94" s="19">
        <f>F92</f>
        <v>0</v>
      </c>
      <c r="H94" s="7"/>
      <c r="I94" s="7"/>
      <c r="J94" s="7"/>
    </row>
    <row r="95" spans="1:10" s="8" customFormat="1" x14ac:dyDescent="0.2">
      <c r="A95" s="9"/>
      <c r="B95" s="7"/>
      <c r="C95" s="7"/>
      <c r="D95" s="47"/>
      <c r="E95" s="47"/>
      <c r="F95"/>
      <c r="H95" s="7"/>
      <c r="I95" s="7"/>
      <c r="J95" s="7"/>
    </row>
    <row r="96" spans="1:10" s="8" customFormat="1" x14ac:dyDescent="0.2">
      <c r="A96" s="9" t="s">
        <v>50</v>
      </c>
      <c r="B96" s="7"/>
      <c r="C96" s="7"/>
      <c r="H96" s="7"/>
      <c r="I96" s="7"/>
      <c r="J96" s="7"/>
    </row>
    <row r="97" spans="1:10" s="8" customFormat="1" x14ac:dyDescent="0.2">
      <c r="A97" s="7"/>
      <c r="B97" s="90"/>
      <c r="C97" s="7"/>
      <c r="H97" s="7"/>
      <c r="I97" s="7"/>
      <c r="J97" s="7"/>
    </row>
    <row r="98" spans="1:10" s="8" customFormat="1" x14ac:dyDescent="0.2">
      <c r="A98" s="5" t="s">
        <v>305</v>
      </c>
      <c r="B98" s="7"/>
      <c r="C98" s="7"/>
      <c r="H98" s="7"/>
      <c r="I98" s="7"/>
      <c r="J98" s="7"/>
    </row>
    <row r="99" spans="1:10" s="8" customFormat="1" x14ac:dyDescent="0.2">
      <c r="A99" s="7"/>
      <c r="B99" s="7"/>
      <c r="C99" s="7"/>
      <c r="H99" s="7"/>
      <c r="I99" s="7"/>
      <c r="J99" s="7"/>
    </row>
    <row r="100" spans="1:10" s="8" customFormat="1" ht="13.5" thickBot="1" x14ac:dyDescent="0.25">
      <c r="A100" s="90" t="s">
        <v>42</v>
      </c>
      <c r="B100" s="7"/>
      <c r="C100" s="7"/>
      <c r="H100" s="7"/>
      <c r="I100" s="7"/>
      <c r="J100" s="7"/>
    </row>
    <row r="101" spans="1:10" s="8" customFormat="1" ht="13.5" thickBot="1" x14ac:dyDescent="0.25">
      <c r="A101" s="48" t="s">
        <v>59</v>
      </c>
      <c r="B101" s="49" t="s">
        <v>60</v>
      </c>
      <c r="C101" s="49" t="s">
        <v>36</v>
      </c>
      <c r="D101" s="50" t="s">
        <v>212</v>
      </c>
      <c r="E101" s="50" t="s">
        <v>61</v>
      </c>
      <c r="F101" s="51" t="s">
        <v>62</v>
      </c>
      <c r="H101" s="7"/>
      <c r="I101" s="7"/>
      <c r="J101" s="7"/>
    </row>
    <row r="102" spans="1:10" s="8" customFormat="1" x14ac:dyDescent="0.2">
      <c r="A102" s="255" t="s">
        <v>309</v>
      </c>
      <c r="B102" s="12" t="s">
        <v>10</v>
      </c>
      <c r="C102" s="12">
        <v>1</v>
      </c>
      <c r="D102" s="71"/>
      <c r="E102" s="13">
        <f>C102*D102</f>
        <v>0</v>
      </c>
      <c r="H102" s="7"/>
      <c r="I102" s="7"/>
      <c r="J102" s="7"/>
    </row>
    <row r="103" spans="1:10" s="8" customFormat="1" x14ac:dyDescent="0.2">
      <c r="A103" s="262" t="s">
        <v>310</v>
      </c>
      <c r="B103" s="15" t="s">
        <v>95</v>
      </c>
      <c r="C103" s="70"/>
      <c r="D103" s="67"/>
      <c r="E103" s="16"/>
      <c r="H103" s="7"/>
      <c r="I103" s="7"/>
      <c r="J103" s="7"/>
    </row>
    <row r="104" spans="1:10" s="8" customFormat="1" x14ac:dyDescent="0.2">
      <c r="A104" s="14" t="s">
        <v>189</v>
      </c>
      <c r="B104" s="15" t="s">
        <v>95</v>
      </c>
      <c r="C104" s="70"/>
      <c r="D104" s="16"/>
      <c r="E104" s="16"/>
      <c r="F104" s="18"/>
      <c r="H104" s="7"/>
      <c r="I104" s="7"/>
      <c r="J104" s="7"/>
    </row>
    <row r="105" spans="1:10" s="8" customFormat="1" x14ac:dyDescent="0.2">
      <c r="A105" s="14" t="s">
        <v>96</v>
      </c>
      <c r="B105" s="15" t="s">
        <v>2</v>
      </c>
      <c r="C105" s="120">
        <f>'5. Depreciação'!B17</f>
        <v>70.73</v>
      </c>
      <c r="D105" s="16">
        <f>E102</f>
        <v>0</v>
      </c>
      <c r="E105" s="16">
        <f>C105*D105/100</f>
        <v>0</v>
      </c>
      <c r="H105" s="7"/>
      <c r="I105" s="7"/>
      <c r="J105" s="7"/>
    </row>
    <row r="106" spans="1:10" s="8" customFormat="1" ht="13.5" thickBot="1" x14ac:dyDescent="0.25">
      <c r="A106" s="232" t="s">
        <v>46</v>
      </c>
      <c r="B106" s="233" t="s">
        <v>8</v>
      </c>
      <c r="C106" s="233">
        <f>C103*12</f>
        <v>0</v>
      </c>
      <c r="D106" s="234">
        <f>IF(C104&lt;=C103,E105,0)</f>
        <v>0</v>
      </c>
      <c r="E106" s="234">
        <f>IFERROR(D106/C106,0)</f>
        <v>0</v>
      </c>
      <c r="H106" s="7"/>
      <c r="I106" s="7"/>
      <c r="J106" s="7"/>
    </row>
    <row r="107" spans="1:10" s="8" customFormat="1" ht="13.5" thickTop="1" x14ac:dyDescent="0.2">
      <c r="A107" s="100" t="s">
        <v>231</v>
      </c>
      <c r="B107" s="101"/>
      <c r="C107" s="101"/>
      <c r="D107" s="102"/>
      <c r="E107" s="103">
        <f>E106</f>
        <v>0</v>
      </c>
      <c r="H107" s="7"/>
      <c r="I107" s="7"/>
      <c r="J107" s="7"/>
    </row>
    <row r="108" spans="1:10" ht="13.5" thickBot="1" x14ac:dyDescent="0.25">
      <c r="A108" s="86" t="s">
        <v>232</v>
      </c>
      <c r="B108" s="87" t="s">
        <v>10</v>
      </c>
      <c r="C108" s="70">
        <v>1</v>
      </c>
      <c r="D108" s="88">
        <f>E107</f>
        <v>0</v>
      </c>
      <c r="E108" s="103">
        <f>C108*D108</f>
        <v>0</v>
      </c>
    </row>
    <row r="109" spans="1:10" s="8" customFormat="1" ht="13.5" thickBot="1" x14ac:dyDescent="0.25">
      <c r="A109" s="230"/>
      <c r="B109" s="230"/>
      <c r="C109" s="230"/>
      <c r="D109" s="105" t="s">
        <v>179</v>
      </c>
      <c r="E109" s="42">
        <v>0</v>
      </c>
      <c r="F109" s="19">
        <f>(E108)*E109</f>
        <v>0</v>
      </c>
      <c r="H109" s="7"/>
      <c r="I109" s="7"/>
      <c r="J109" s="7"/>
    </row>
    <row r="110" spans="1:10" s="8" customFormat="1" x14ac:dyDescent="0.2">
      <c r="A110" s="7"/>
      <c r="B110" s="7"/>
      <c r="C110" s="7"/>
      <c r="H110" s="7"/>
      <c r="I110" s="7"/>
      <c r="J110" s="7"/>
    </row>
    <row r="111" spans="1:10" s="8" customFormat="1" ht="13.5" thickBot="1" x14ac:dyDescent="0.25">
      <c r="A111" s="90" t="s">
        <v>100</v>
      </c>
      <c r="B111" s="7"/>
      <c r="C111" s="7"/>
      <c r="H111" s="7"/>
      <c r="I111" s="7"/>
      <c r="J111" s="7"/>
    </row>
    <row r="112" spans="1:10" s="8" customFormat="1" ht="13.5" thickBot="1" x14ac:dyDescent="0.25">
      <c r="A112" s="92" t="s">
        <v>59</v>
      </c>
      <c r="B112" s="93" t="s">
        <v>60</v>
      </c>
      <c r="C112" s="93" t="s">
        <v>36</v>
      </c>
      <c r="D112" s="50" t="s">
        <v>212</v>
      </c>
      <c r="E112" s="94" t="s">
        <v>61</v>
      </c>
      <c r="F112" s="51" t="s">
        <v>62</v>
      </c>
      <c r="H112" s="7"/>
      <c r="I112" s="7"/>
      <c r="J112" s="7"/>
    </row>
    <row r="113" spans="1:10" s="8" customFormat="1" x14ac:dyDescent="0.2">
      <c r="A113" s="14" t="s">
        <v>99</v>
      </c>
      <c r="B113" s="15" t="s">
        <v>10</v>
      </c>
      <c r="C113" s="12">
        <v>1</v>
      </c>
      <c r="D113" s="16">
        <f>D102</f>
        <v>0</v>
      </c>
      <c r="E113" s="16">
        <f>C113*D113</f>
        <v>0</v>
      </c>
      <c r="F113" s="18"/>
      <c r="H113" s="7"/>
      <c r="I113" s="7"/>
      <c r="J113" s="7"/>
    </row>
    <row r="114" spans="1:10" s="8" customFormat="1" x14ac:dyDescent="0.2">
      <c r="A114" s="14" t="s">
        <v>191</v>
      </c>
      <c r="B114" s="15" t="s">
        <v>2</v>
      </c>
      <c r="C114" s="70"/>
      <c r="D114" s="16"/>
      <c r="E114" s="16"/>
      <c r="F114" s="18"/>
      <c r="H114" s="7"/>
      <c r="I114" s="7"/>
      <c r="J114" s="7"/>
    </row>
    <row r="115" spans="1:10" s="8" customFormat="1" x14ac:dyDescent="0.2">
      <c r="A115" s="14" t="s">
        <v>190</v>
      </c>
      <c r="B115" s="15" t="s">
        <v>29</v>
      </c>
      <c r="C115" s="125">
        <f>IFERROR(IF(C104&lt;=C103,E102-(C105/(100*C103)*C104)*E102,E102-E105),0)</f>
        <v>0</v>
      </c>
      <c r="D115" s="16"/>
      <c r="E115" s="16"/>
      <c r="F115" s="18"/>
      <c r="H115" s="7"/>
      <c r="I115" s="7"/>
      <c r="J115" s="7"/>
    </row>
    <row r="116" spans="1:10" s="8" customFormat="1" x14ac:dyDescent="0.2">
      <c r="A116" s="14" t="s">
        <v>102</v>
      </c>
      <c r="B116" s="15" t="s">
        <v>29</v>
      </c>
      <c r="C116" s="67">
        <f>IFERROR(IF(C104&gt;=C103,C115,((((C115)-(E102-E105))*(((C103-C104)+1)/(2*(C103-C104))))+(E102-E105))),0)</f>
        <v>0</v>
      </c>
      <c r="D116" s="16"/>
      <c r="E116" s="16"/>
      <c r="F116" s="18"/>
      <c r="H116" s="7"/>
      <c r="I116" s="7"/>
      <c r="J116" s="7"/>
    </row>
    <row r="117" spans="1:10" s="8" customFormat="1" ht="13.5" thickBot="1" x14ac:dyDescent="0.25">
      <c r="A117" s="232" t="s">
        <v>103</v>
      </c>
      <c r="B117" s="233" t="s">
        <v>29</v>
      </c>
      <c r="C117" s="233"/>
      <c r="D117" s="235">
        <f>C114*C116/12/100</f>
        <v>0</v>
      </c>
      <c r="E117" s="234">
        <f>D117</f>
        <v>0</v>
      </c>
      <c r="F117" s="18"/>
      <c r="H117" s="7"/>
      <c r="I117" s="7"/>
      <c r="J117" s="7"/>
    </row>
    <row r="118" spans="1:10" s="8" customFormat="1" ht="13.5" thickTop="1" x14ac:dyDescent="0.2">
      <c r="A118" s="100" t="s">
        <v>231</v>
      </c>
      <c r="B118" s="101"/>
      <c r="C118" s="101"/>
      <c r="D118" s="102"/>
      <c r="E118" s="103">
        <f>E117</f>
        <v>0</v>
      </c>
      <c r="F118" s="18"/>
      <c r="H118" s="7"/>
      <c r="I118" s="7"/>
      <c r="J118" s="7"/>
    </row>
    <row r="119" spans="1:10" s="8" customFormat="1" ht="13.5" thickBot="1" x14ac:dyDescent="0.25">
      <c r="A119" s="86" t="s">
        <v>232</v>
      </c>
      <c r="B119" s="87" t="s">
        <v>10</v>
      </c>
      <c r="C119" s="15">
        <f>C108</f>
        <v>1</v>
      </c>
      <c r="D119" s="88">
        <f>E118</f>
        <v>0</v>
      </c>
      <c r="E119" s="103">
        <f>C119*D119</f>
        <v>0</v>
      </c>
      <c r="F119" s="18"/>
      <c r="H119" s="7"/>
      <c r="I119" s="7"/>
      <c r="J119" s="7"/>
    </row>
    <row r="120" spans="1:10" s="8" customFormat="1" ht="13.5" thickBot="1" x14ac:dyDescent="0.25">
      <c r="A120" s="7"/>
      <c r="B120" s="7"/>
      <c r="C120" s="17"/>
      <c r="D120" s="105" t="s">
        <v>179</v>
      </c>
      <c r="E120" s="42">
        <v>0</v>
      </c>
      <c r="F120" s="19">
        <f>(E119)*E120</f>
        <v>0</v>
      </c>
      <c r="H120" s="7"/>
      <c r="I120" s="7"/>
      <c r="J120" s="7"/>
    </row>
    <row r="121" spans="1:10" s="8" customFormat="1" x14ac:dyDescent="0.2">
      <c r="A121" s="7"/>
      <c r="B121" s="7"/>
      <c r="C121" s="7"/>
      <c r="H121" s="7"/>
      <c r="I121" s="7"/>
      <c r="J121" s="7"/>
    </row>
    <row r="122" spans="1:10" s="8" customFormat="1" ht="13.5" thickBot="1" x14ac:dyDescent="0.25">
      <c r="A122" s="7" t="s">
        <v>47</v>
      </c>
      <c r="B122" s="7"/>
      <c r="C122" s="7"/>
      <c r="H122" s="7"/>
      <c r="I122" s="7"/>
      <c r="J122" s="7"/>
    </row>
    <row r="123" spans="1:10" s="8" customFormat="1" ht="13.5" thickBot="1" x14ac:dyDescent="0.25">
      <c r="A123" s="48" t="s">
        <v>59</v>
      </c>
      <c r="B123" s="49" t="s">
        <v>60</v>
      </c>
      <c r="C123" s="49" t="s">
        <v>36</v>
      </c>
      <c r="D123" s="50" t="s">
        <v>212</v>
      </c>
      <c r="E123" s="50" t="s">
        <v>61</v>
      </c>
      <c r="F123" s="51" t="s">
        <v>62</v>
      </c>
      <c r="H123" s="7"/>
      <c r="I123" s="7"/>
      <c r="J123" s="7"/>
    </row>
    <row r="124" spans="1:10" s="8" customFormat="1" x14ac:dyDescent="0.2">
      <c r="A124" s="11" t="s">
        <v>11</v>
      </c>
      <c r="B124" s="12" t="s">
        <v>10</v>
      </c>
      <c r="C124" s="13">
        <v>1</v>
      </c>
      <c r="D124" s="13">
        <f>D102*0.01</f>
        <v>0</v>
      </c>
      <c r="E124" s="13">
        <f>D124</f>
        <v>0</v>
      </c>
      <c r="H124" s="7"/>
      <c r="I124" s="7"/>
      <c r="J124" s="7"/>
    </row>
    <row r="125" spans="1:10" x14ac:dyDescent="0.2">
      <c r="A125" s="262" t="s">
        <v>178</v>
      </c>
      <c r="B125" s="15" t="s">
        <v>10</v>
      </c>
      <c r="C125" s="13">
        <v>1</v>
      </c>
      <c r="D125" s="73"/>
      <c r="E125" s="16">
        <f>D125</f>
        <v>0</v>
      </c>
    </row>
    <row r="126" spans="1:10" s="8" customFormat="1" x14ac:dyDescent="0.2">
      <c r="A126" s="14" t="s">
        <v>12</v>
      </c>
      <c r="B126" s="15" t="s">
        <v>10</v>
      </c>
      <c r="C126" s="13">
        <v>1</v>
      </c>
      <c r="D126" s="73">
        <v>0</v>
      </c>
      <c r="E126" s="16">
        <v>0</v>
      </c>
      <c r="F126" s="29"/>
      <c r="H126" s="7"/>
      <c r="I126" s="7"/>
      <c r="J126" s="7"/>
    </row>
    <row r="127" spans="1:10" s="8" customFormat="1" ht="13.5" thickBot="1" x14ac:dyDescent="0.25">
      <c r="A127" s="86" t="s">
        <v>13</v>
      </c>
      <c r="B127" s="87" t="s">
        <v>8</v>
      </c>
      <c r="C127" s="87">
        <v>12</v>
      </c>
      <c r="D127" s="88">
        <f>SUM(E124:E126)</f>
        <v>0</v>
      </c>
      <c r="E127" s="88">
        <f>D127/C127</f>
        <v>0</v>
      </c>
      <c r="H127" s="7"/>
      <c r="I127" s="7"/>
      <c r="J127" s="7"/>
    </row>
    <row r="128" spans="1:10" s="8" customFormat="1" ht="13.5" thickBot="1" x14ac:dyDescent="0.25">
      <c r="A128" s="7"/>
      <c r="B128" s="7"/>
      <c r="C128" s="7"/>
      <c r="D128" s="105" t="s">
        <v>179</v>
      </c>
      <c r="E128" s="42">
        <v>0</v>
      </c>
      <c r="F128" s="106">
        <f>E127*E128</f>
        <v>0</v>
      </c>
      <c r="H128" s="7"/>
      <c r="I128" s="7"/>
      <c r="J128" s="7"/>
    </row>
    <row r="129" spans="1:10" s="8" customFormat="1" x14ac:dyDescent="0.2">
      <c r="A129" s="7"/>
      <c r="B129" s="7"/>
      <c r="C129" s="7"/>
      <c r="H129" s="7"/>
      <c r="I129" s="7"/>
      <c r="J129" s="7"/>
    </row>
    <row r="130" spans="1:10" s="8" customFormat="1" x14ac:dyDescent="0.2">
      <c r="A130" s="7" t="s">
        <v>48</v>
      </c>
      <c r="B130" s="30"/>
      <c r="C130" s="7"/>
      <c r="H130" s="7"/>
      <c r="I130" s="7"/>
      <c r="J130" s="7"/>
    </row>
    <row r="131" spans="1:10" s="8" customFormat="1" x14ac:dyDescent="0.2">
      <c r="A131" s="7"/>
      <c r="B131" s="30"/>
      <c r="C131" s="7"/>
      <c r="H131" s="7"/>
      <c r="I131" s="7"/>
      <c r="J131" s="7"/>
    </row>
    <row r="132" spans="1:10" s="8" customFormat="1" x14ac:dyDescent="0.2">
      <c r="A132" s="86" t="s">
        <v>105</v>
      </c>
      <c r="B132" s="305">
        <v>1613.04</v>
      </c>
      <c r="C132" s="7"/>
      <c r="H132" s="7"/>
      <c r="I132" s="7"/>
      <c r="J132" s="7"/>
    </row>
    <row r="133" spans="1:10" ht="13.5" thickBot="1" x14ac:dyDescent="0.25">
      <c r="B133" s="30"/>
    </row>
    <row r="134" spans="1:10" s="8" customFormat="1" ht="13.5" thickBot="1" x14ac:dyDescent="0.25">
      <c r="A134" s="48" t="s">
        <v>59</v>
      </c>
      <c r="B134" s="49" t="s">
        <v>60</v>
      </c>
      <c r="C134" s="49" t="s">
        <v>230</v>
      </c>
      <c r="D134" s="50" t="s">
        <v>212</v>
      </c>
      <c r="E134" s="50" t="s">
        <v>61</v>
      </c>
      <c r="F134" s="51" t="s">
        <v>62</v>
      </c>
      <c r="H134" s="7"/>
      <c r="I134" s="7"/>
      <c r="J134" s="7"/>
    </row>
    <row r="135" spans="1:10" s="8" customFormat="1" x14ac:dyDescent="0.2">
      <c r="A135" s="11" t="s">
        <v>14</v>
      </c>
      <c r="B135" s="12" t="s">
        <v>15</v>
      </c>
      <c r="C135" s="80">
        <v>3</v>
      </c>
      <c r="D135" s="81">
        <v>6.5</v>
      </c>
      <c r="E135" s="13"/>
      <c r="H135" s="7"/>
      <c r="I135" s="7"/>
      <c r="J135" s="7"/>
    </row>
    <row r="136" spans="1:10" s="8" customFormat="1" x14ac:dyDescent="0.2">
      <c r="A136" s="14" t="s">
        <v>16</v>
      </c>
      <c r="B136" s="15" t="s">
        <v>17</v>
      </c>
      <c r="C136" s="78">
        <f>B132</f>
        <v>1613.04</v>
      </c>
      <c r="D136" s="229">
        <f>IFERROR(+D135/C135,"-")</f>
        <v>2.1666666666666665</v>
      </c>
      <c r="E136" s="16">
        <f>IFERROR(C136*D136,"-")</f>
        <v>3494.9199999999996</v>
      </c>
      <c r="H136" s="7"/>
      <c r="I136" s="7"/>
      <c r="J136" s="7"/>
    </row>
    <row r="137" spans="1:10" s="8" customFormat="1" x14ac:dyDescent="0.2">
      <c r="A137" s="14" t="s">
        <v>213</v>
      </c>
      <c r="B137" s="15" t="s">
        <v>18</v>
      </c>
      <c r="C137" s="83">
        <v>6</v>
      </c>
      <c r="D137" s="73">
        <v>20</v>
      </c>
      <c r="E137" s="16"/>
      <c r="H137" s="7"/>
      <c r="I137" s="7"/>
      <c r="J137" s="7"/>
    </row>
    <row r="138" spans="1:10" s="8" customFormat="1" x14ac:dyDescent="0.2">
      <c r="A138" s="14" t="s">
        <v>19</v>
      </c>
      <c r="B138" s="15" t="s">
        <v>17</v>
      </c>
      <c r="C138" s="78">
        <f>C136</f>
        <v>1613.04</v>
      </c>
      <c r="D138" s="226">
        <f>+C137*D137/1000</f>
        <v>0.12</v>
      </c>
      <c r="E138" s="16">
        <f>C138*D138</f>
        <v>193.56479999999999</v>
      </c>
      <c r="H138" s="7"/>
      <c r="I138" s="7"/>
      <c r="J138" s="7"/>
    </row>
    <row r="139" spans="1:10" s="8" customFormat="1" x14ac:dyDescent="0.2">
      <c r="A139" s="14" t="s">
        <v>214</v>
      </c>
      <c r="B139" s="15" t="s">
        <v>18</v>
      </c>
      <c r="C139" s="83">
        <v>1</v>
      </c>
      <c r="D139" s="73">
        <v>18</v>
      </c>
      <c r="E139" s="16"/>
      <c r="H139" s="7"/>
      <c r="I139" s="7"/>
      <c r="J139" s="7"/>
    </row>
    <row r="140" spans="1:10" s="8" customFormat="1" x14ac:dyDescent="0.2">
      <c r="A140" s="14" t="s">
        <v>20</v>
      </c>
      <c r="B140" s="15" t="s">
        <v>17</v>
      </c>
      <c r="C140" s="78">
        <f>C136</f>
        <v>1613.04</v>
      </c>
      <c r="D140" s="226">
        <f>+C139*D139/1000</f>
        <v>1.7999999999999999E-2</v>
      </c>
      <c r="E140" s="16">
        <f>C140*D140</f>
        <v>29.034719999999997</v>
      </c>
      <c r="H140" s="7"/>
      <c r="I140" s="7"/>
      <c r="J140" s="7"/>
    </row>
    <row r="141" spans="1:10" s="8" customFormat="1" x14ac:dyDescent="0.2">
      <c r="A141" s="14" t="s">
        <v>215</v>
      </c>
      <c r="B141" s="15" t="s">
        <v>18</v>
      </c>
      <c r="C141" s="83">
        <v>5</v>
      </c>
      <c r="D141" s="73">
        <v>15</v>
      </c>
      <c r="E141" s="16"/>
      <c r="H141" s="7"/>
      <c r="I141" s="7"/>
      <c r="J141" s="7"/>
    </row>
    <row r="142" spans="1:10" s="8" customFormat="1" x14ac:dyDescent="0.2">
      <c r="A142" s="14" t="s">
        <v>21</v>
      </c>
      <c r="B142" s="15" t="s">
        <v>17</v>
      </c>
      <c r="C142" s="78">
        <f>C136</f>
        <v>1613.04</v>
      </c>
      <c r="D142" s="226">
        <f>+C141*D141/1000</f>
        <v>7.4999999999999997E-2</v>
      </c>
      <c r="E142" s="16">
        <f>C142*D142</f>
        <v>120.97799999999999</v>
      </c>
      <c r="H142" s="7"/>
      <c r="I142" s="7"/>
      <c r="J142" s="7"/>
    </row>
    <row r="143" spans="1:10" s="8" customFormat="1" x14ac:dyDescent="0.2">
      <c r="A143" s="262" t="s">
        <v>280</v>
      </c>
      <c r="B143" s="15" t="s">
        <v>22</v>
      </c>
      <c r="C143" s="83">
        <v>2</v>
      </c>
      <c r="D143" s="73">
        <v>14</v>
      </c>
      <c r="E143" s="16"/>
      <c r="H143" s="7"/>
      <c r="I143" s="7"/>
      <c r="J143" s="7"/>
    </row>
    <row r="144" spans="1:10" s="8" customFormat="1" x14ac:dyDescent="0.2">
      <c r="A144" s="14" t="s">
        <v>23</v>
      </c>
      <c r="B144" s="15" t="s">
        <v>17</v>
      </c>
      <c r="C144" s="78">
        <f>C136</f>
        <v>1613.04</v>
      </c>
      <c r="D144" s="226">
        <f>+C143*D143/1000</f>
        <v>2.8000000000000001E-2</v>
      </c>
      <c r="E144" s="16">
        <f>C144*D144</f>
        <v>45.165120000000002</v>
      </c>
      <c r="H144" s="7"/>
      <c r="I144" s="7"/>
      <c r="J144" s="7"/>
    </row>
    <row r="145" spans="1:10" s="8" customFormat="1" ht="13.5" thickBot="1" x14ac:dyDescent="0.25">
      <c r="A145" s="86" t="s">
        <v>229</v>
      </c>
      <c r="B145" s="87" t="s">
        <v>106</v>
      </c>
      <c r="C145" s="227"/>
      <c r="D145" s="228">
        <f>IFERROR(D136+D138+D140+D142+D144,0)</f>
        <v>2.4076666666666666</v>
      </c>
      <c r="E145" s="16"/>
      <c r="H145" s="7"/>
      <c r="I145" s="7"/>
      <c r="J145" s="7"/>
    </row>
    <row r="146" spans="1:10" s="8" customFormat="1" ht="13.5" thickBot="1" x14ac:dyDescent="0.25">
      <c r="A146" s="7"/>
      <c r="B146" s="7"/>
      <c r="C146" s="7"/>
      <c r="F146" s="19">
        <f>SUM(E135:E144)</f>
        <v>3883.66264</v>
      </c>
      <c r="H146" s="7"/>
      <c r="I146" s="7"/>
      <c r="J146" s="7"/>
    </row>
    <row r="147" spans="1:10" s="8" customFormat="1" x14ac:dyDescent="0.2">
      <c r="A147" s="7"/>
      <c r="B147" s="7"/>
      <c r="C147" s="7"/>
      <c r="H147" s="7"/>
      <c r="I147" s="7"/>
      <c r="J147" s="7"/>
    </row>
    <row r="148" spans="1:10" s="8" customFormat="1" ht="13.5" thickBot="1" x14ac:dyDescent="0.25">
      <c r="A148" s="7" t="s">
        <v>49</v>
      </c>
      <c r="B148" s="7"/>
      <c r="C148" s="7"/>
      <c r="H148" s="7"/>
      <c r="I148" s="7"/>
      <c r="J148" s="7"/>
    </row>
    <row r="149" spans="1:10" s="8" customFormat="1" ht="13.5" thickBot="1" x14ac:dyDescent="0.25">
      <c r="A149" s="48" t="s">
        <v>59</v>
      </c>
      <c r="B149" s="49" t="s">
        <v>60</v>
      </c>
      <c r="C149" s="49" t="s">
        <v>36</v>
      </c>
      <c r="D149" s="50" t="s">
        <v>212</v>
      </c>
      <c r="E149" s="50" t="s">
        <v>61</v>
      </c>
      <c r="F149" s="51" t="s">
        <v>62</v>
      </c>
      <c r="H149" s="7"/>
      <c r="I149" s="7"/>
      <c r="J149" s="7"/>
    </row>
    <row r="150" spans="1:10" s="8" customFormat="1" ht="13.5" thickBot="1" x14ac:dyDescent="0.25">
      <c r="A150" s="11" t="s">
        <v>104</v>
      </c>
      <c r="B150" s="12" t="s">
        <v>106</v>
      </c>
      <c r="C150" s="78">
        <f>C136</f>
        <v>1613.04</v>
      </c>
      <c r="D150" s="71">
        <v>2.5</v>
      </c>
      <c r="E150" s="13">
        <f>C150*D150</f>
        <v>4032.6</v>
      </c>
      <c r="H150" s="69"/>
      <c r="I150" s="69"/>
      <c r="J150" s="7"/>
    </row>
    <row r="151" spans="1:10" ht="13.5" thickBot="1" x14ac:dyDescent="0.25">
      <c r="F151" s="19">
        <f>E150</f>
        <v>4032.6</v>
      </c>
      <c r="H151" s="69"/>
    </row>
    <row r="152" spans="1:10" s="8" customFormat="1" x14ac:dyDescent="0.2">
      <c r="A152" s="7"/>
      <c r="B152" s="7"/>
      <c r="C152" s="7"/>
      <c r="H152" s="7"/>
      <c r="I152" s="7"/>
      <c r="J152" s="7"/>
    </row>
    <row r="153" spans="1:10" s="8" customFormat="1" ht="13.5" thickBot="1" x14ac:dyDescent="0.25">
      <c r="A153" s="7" t="s">
        <v>58</v>
      </c>
      <c r="B153" s="7"/>
      <c r="C153" s="7"/>
      <c r="H153" s="7"/>
      <c r="I153" s="7"/>
      <c r="J153" s="7"/>
    </row>
    <row r="154" spans="1:10" s="8" customFormat="1" ht="13.5" thickBot="1" x14ac:dyDescent="0.25">
      <c r="A154" s="48" t="s">
        <v>59</v>
      </c>
      <c r="B154" s="49" t="s">
        <v>60</v>
      </c>
      <c r="C154" s="49" t="s">
        <v>36</v>
      </c>
      <c r="D154" s="50" t="s">
        <v>212</v>
      </c>
      <c r="E154" s="50" t="s">
        <v>61</v>
      </c>
      <c r="F154" s="51" t="s">
        <v>62</v>
      </c>
      <c r="H154" s="7"/>
      <c r="I154" s="7"/>
      <c r="J154" s="7"/>
    </row>
    <row r="155" spans="1:10" s="8" customFormat="1" x14ac:dyDescent="0.2">
      <c r="A155" s="255" t="s">
        <v>281</v>
      </c>
      <c r="B155" s="12" t="s">
        <v>10</v>
      </c>
      <c r="C155" s="79"/>
      <c r="D155" s="71"/>
      <c r="E155" s="13">
        <f>C155*D155</f>
        <v>0</v>
      </c>
      <c r="H155" s="7"/>
      <c r="I155" s="7"/>
      <c r="J155" s="7"/>
    </row>
    <row r="156" spans="1:10" x14ac:dyDescent="0.2">
      <c r="A156" s="11" t="s">
        <v>107</v>
      </c>
      <c r="B156" s="12" t="s">
        <v>10</v>
      </c>
      <c r="C156" s="79"/>
      <c r="D156" s="89"/>
      <c r="E156" s="13"/>
    </row>
    <row r="157" spans="1:10" s="8" customFormat="1" x14ac:dyDescent="0.2">
      <c r="A157" s="11" t="s">
        <v>66</v>
      </c>
      <c r="B157" s="12" t="s">
        <v>10</v>
      </c>
      <c r="C157" s="13">
        <f>C155*C156</f>
        <v>0</v>
      </c>
      <c r="D157" s="71"/>
      <c r="E157" s="13">
        <f>C157*D157</f>
        <v>0</v>
      </c>
      <c r="H157" s="7"/>
      <c r="I157" s="7"/>
      <c r="J157" s="7"/>
    </row>
    <row r="158" spans="1:10" s="8" customFormat="1" x14ac:dyDescent="0.2">
      <c r="A158" s="262" t="s">
        <v>277</v>
      </c>
      <c r="B158" s="15" t="s">
        <v>24</v>
      </c>
      <c r="C158" s="82"/>
      <c r="D158" s="16">
        <f>E155+E157</f>
        <v>0</v>
      </c>
      <c r="E158" s="16" t="str">
        <f>IFERROR(D158/C158,"-")</f>
        <v>-</v>
      </c>
      <c r="H158" s="7"/>
      <c r="I158" s="7"/>
      <c r="J158" s="7"/>
    </row>
    <row r="159" spans="1:10" s="8" customFormat="1" ht="13.5" thickBot="1" x14ac:dyDescent="0.25">
      <c r="A159" s="14" t="s">
        <v>51</v>
      </c>
      <c r="B159" s="15" t="s">
        <v>17</v>
      </c>
      <c r="C159" s="78">
        <f>B132</f>
        <v>1613.04</v>
      </c>
      <c r="D159" s="16" t="str">
        <f>E158</f>
        <v>-</v>
      </c>
      <c r="E159" s="16">
        <f>IFERROR(C159*D159,0)</f>
        <v>0</v>
      </c>
      <c r="H159" s="7"/>
      <c r="I159" s="7"/>
      <c r="J159" s="7"/>
    </row>
    <row r="160" spans="1:10" s="8" customFormat="1" ht="13.5" thickBot="1" x14ac:dyDescent="0.25">
      <c r="A160" s="7"/>
      <c r="B160" s="7"/>
      <c r="C160" s="7"/>
      <c r="F160" s="19">
        <f>E159</f>
        <v>0</v>
      </c>
      <c r="H160" s="69"/>
      <c r="I160" s="69"/>
      <c r="J160" s="7"/>
    </row>
    <row r="161" spans="1:10" s="8" customFormat="1" x14ac:dyDescent="0.2">
      <c r="A161" s="7"/>
      <c r="B161" s="7"/>
      <c r="C161" s="7"/>
      <c r="H161" s="7"/>
      <c r="I161" s="7"/>
      <c r="J161" s="7"/>
    </row>
    <row r="162" spans="1:10" s="8" customFormat="1" ht="13.5" thickBot="1" x14ac:dyDescent="0.25">
      <c r="A162" s="7"/>
      <c r="B162" s="7"/>
      <c r="C162" s="7"/>
      <c r="H162" s="7"/>
      <c r="I162" s="7"/>
      <c r="J162" s="7"/>
    </row>
    <row r="163" spans="1:10" s="8" customFormat="1" ht="13.5" thickBot="1" x14ac:dyDescent="0.25">
      <c r="A163" s="22" t="s">
        <v>200</v>
      </c>
      <c r="B163" s="23"/>
      <c r="C163" s="23"/>
      <c r="D163" s="24"/>
      <c r="E163" s="25"/>
      <c r="F163" s="19">
        <f>+SUM(F102:F162)</f>
        <v>7916.2626399999999</v>
      </c>
      <c r="H163" s="7"/>
      <c r="I163" s="7"/>
      <c r="J163" s="7"/>
    </row>
    <row r="164" spans="1:10" s="8" customFormat="1" x14ac:dyDescent="0.2">
      <c r="A164" s="7"/>
      <c r="B164" s="7"/>
      <c r="C164" s="7"/>
      <c r="H164" s="7"/>
      <c r="I164" s="7"/>
      <c r="J164" s="7"/>
    </row>
    <row r="165" spans="1:10" hidden="1" x14ac:dyDescent="0.2"/>
    <row r="166" spans="1:10" hidden="1" x14ac:dyDescent="0.2"/>
    <row r="167" spans="1:10" hidden="1" x14ac:dyDescent="0.2"/>
    <row r="168" spans="1:10" x14ac:dyDescent="0.2">
      <c r="A168" s="9" t="s">
        <v>323</v>
      </c>
      <c r="B168" s="9"/>
      <c r="C168" s="9"/>
      <c r="D168" s="32"/>
      <c r="E168" s="32"/>
      <c r="F168" s="31"/>
    </row>
    <row r="169" spans="1:10" ht="13.5" thickBot="1" x14ac:dyDescent="0.25"/>
    <row r="170" spans="1:10" ht="13.5" thickBot="1" x14ac:dyDescent="0.25">
      <c r="A170" s="48" t="s">
        <v>59</v>
      </c>
      <c r="B170" s="49" t="s">
        <v>60</v>
      </c>
      <c r="C170" s="49" t="s">
        <v>36</v>
      </c>
      <c r="D170" s="50" t="s">
        <v>212</v>
      </c>
      <c r="E170" s="50" t="s">
        <v>61</v>
      </c>
      <c r="F170" s="51" t="s">
        <v>62</v>
      </c>
    </row>
    <row r="171" spans="1:10" x14ac:dyDescent="0.2">
      <c r="A171" s="14" t="s">
        <v>198</v>
      </c>
      <c r="B171" s="44" t="s">
        <v>54</v>
      </c>
      <c r="C171" s="56">
        <v>1</v>
      </c>
      <c r="D171" s="73"/>
      <c r="E171" s="16">
        <f>+D171*C171</f>
        <v>0</v>
      </c>
      <c r="F171" s="45"/>
    </row>
    <row r="172" spans="1:10" x14ac:dyDescent="0.2">
      <c r="A172" s="14" t="s">
        <v>57</v>
      </c>
      <c r="B172" s="44" t="s">
        <v>8</v>
      </c>
      <c r="C172" s="15">
        <v>60</v>
      </c>
      <c r="D172" s="271">
        <v>380</v>
      </c>
      <c r="E172" s="66">
        <f>+D172/C172</f>
        <v>6.333333333333333</v>
      </c>
      <c r="F172" s="45"/>
    </row>
    <row r="173" spans="1:10" x14ac:dyDescent="0.2">
      <c r="A173" s="14" t="s">
        <v>199</v>
      </c>
      <c r="B173" s="15" t="s">
        <v>10</v>
      </c>
      <c r="C173" s="56">
        <f>+C171</f>
        <v>1</v>
      </c>
      <c r="D173" s="73"/>
      <c r="E173" s="16">
        <f>C173*D173</f>
        <v>0</v>
      </c>
      <c r="F173" s="45"/>
    </row>
    <row r="174" spans="1:10" ht="13.5" thickBot="1" x14ac:dyDescent="0.25">
      <c r="A174" s="14" t="s">
        <v>33</v>
      </c>
      <c r="B174" s="44" t="s">
        <v>8</v>
      </c>
      <c r="C174" s="15">
        <v>1</v>
      </c>
      <c r="D174" s="271">
        <v>20</v>
      </c>
      <c r="E174" s="271">
        <f>+D174/C174</f>
        <v>20</v>
      </c>
      <c r="F174" s="45"/>
    </row>
    <row r="175" spans="1:10" ht="13.5" thickBot="1" x14ac:dyDescent="0.25">
      <c r="A175" s="10"/>
      <c r="B175" s="10"/>
      <c r="C175" s="10"/>
      <c r="D175" s="105" t="s">
        <v>179</v>
      </c>
      <c r="E175" s="42">
        <v>0</v>
      </c>
      <c r="F175" s="19">
        <f>(E172+E174)*E175</f>
        <v>0</v>
      </c>
    </row>
    <row r="176" spans="1:10" ht="13.5" thickBot="1" x14ac:dyDescent="0.25"/>
    <row r="177" spans="1:6" ht="13.5" thickBot="1" x14ac:dyDescent="0.25">
      <c r="A177" s="22" t="s">
        <v>197</v>
      </c>
      <c r="B177" s="23"/>
      <c r="C177" s="23"/>
      <c r="D177" s="24"/>
      <c r="E177" s="25"/>
      <c r="F177" s="19">
        <f>+F175</f>
        <v>0</v>
      </c>
    </row>
    <row r="178" spans="1:6" x14ac:dyDescent="0.2">
      <c r="A178" s="9"/>
      <c r="B178" s="101"/>
      <c r="C178" s="101"/>
      <c r="D178" s="272"/>
      <c r="E178" s="31"/>
      <c r="F178"/>
    </row>
    <row r="179" spans="1:6" ht="13.5" thickBot="1" x14ac:dyDescent="0.25">
      <c r="A179" s="9"/>
      <c r="B179" s="101"/>
      <c r="C179" s="101"/>
      <c r="D179" s="272"/>
      <c r="E179" s="31"/>
      <c r="F179" s="289"/>
    </row>
    <row r="180" spans="1:6" ht="13.5" thickBot="1" x14ac:dyDescent="0.25">
      <c r="A180" s="22" t="s">
        <v>202</v>
      </c>
      <c r="B180" s="26"/>
      <c r="C180" s="26"/>
      <c r="D180" s="27"/>
      <c r="E180" s="28"/>
      <c r="F180" s="20">
        <f>+F77+F94+F163+F177</f>
        <v>7916.2626399999999</v>
      </c>
    </row>
    <row r="182" spans="1:6" ht="13.5" thickBot="1" x14ac:dyDescent="0.25">
      <c r="A182" s="9" t="s">
        <v>324</v>
      </c>
    </row>
    <row r="183" spans="1:6" ht="13.5" thickBot="1" x14ac:dyDescent="0.25">
      <c r="A183" s="48" t="s">
        <v>59</v>
      </c>
      <c r="B183" s="49" t="s">
        <v>60</v>
      </c>
      <c r="C183" s="49" t="s">
        <v>36</v>
      </c>
      <c r="D183" s="50" t="s">
        <v>212</v>
      </c>
      <c r="E183" s="50" t="s">
        <v>61</v>
      </c>
      <c r="F183" s="51" t="s">
        <v>62</v>
      </c>
    </row>
    <row r="184" spans="1:6" ht="13.5" thickBot="1" x14ac:dyDescent="0.25">
      <c r="A184" s="11" t="s">
        <v>32</v>
      </c>
      <c r="B184" s="12" t="s">
        <v>2</v>
      </c>
      <c r="C184" s="120">
        <f>'4.BDI'!C20*100</f>
        <v>25.5</v>
      </c>
      <c r="D184" s="13">
        <f>+F180</f>
        <v>7916.2626399999999</v>
      </c>
      <c r="E184" s="13">
        <f>C184*D184/100</f>
        <v>2018.6469732</v>
      </c>
    </row>
    <row r="185" spans="1:6" ht="13.5" thickBot="1" x14ac:dyDescent="0.25">
      <c r="F185" s="19">
        <f>+E184</f>
        <v>2018.6469732</v>
      </c>
    </row>
    <row r="186" spans="1:6" ht="13.5" thickBot="1" x14ac:dyDescent="0.25"/>
    <row r="187" spans="1:6" ht="13.5" thickBot="1" x14ac:dyDescent="0.25">
      <c r="A187" s="22" t="s">
        <v>217</v>
      </c>
      <c r="B187" s="26"/>
      <c r="C187" s="26"/>
      <c r="D187" s="27"/>
      <c r="E187" s="28"/>
      <c r="F187" s="20">
        <f>F185</f>
        <v>2018.6469732</v>
      </c>
    </row>
    <row r="188" spans="1:6" x14ac:dyDescent="0.2">
      <c r="A188" s="9"/>
      <c r="B188" s="9"/>
      <c r="C188" s="9"/>
      <c r="D188" s="32"/>
      <c r="E188" s="32"/>
      <c r="F188" s="31"/>
    </row>
    <row r="189" spans="1:6" ht="13.5" thickBot="1" x14ac:dyDescent="0.25"/>
    <row r="190" spans="1:6" ht="13.5" thickBot="1" x14ac:dyDescent="0.25">
      <c r="A190" s="22" t="s">
        <v>203</v>
      </c>
      <c r="B190" s="26"/>
      <c r="C190" s="26"/>
      <c r="D190" s="27"/>
      <c r="E190" s="28"/>
      <c r="F190" s="20">
        <f>F180+F187</f>
        <v>9934.9096131999995</v>
      </c>
    </row>
  </sheetData>
  <mergeCells count="11">
    <mergeCell ref="A2:F11"/>
    <mergeCell ref="A12:F13"/>
    <mergeCell ref="A14:F14"/>
    <mergeCell ref="A16:F16"/>
    <mergeCell ref="A51:D51"/>
    <mergeCell ref="A25:F26"/>
    <mergeCell ref="A27:F27"/>
    <mergeCell ref="A28:F28"/>
    <mergeCell ref="A33:C33"/>
    <mergeCell ref="A46:E46"/>
    <mergeCell ref="A47:D47"/>
  </mergeCells>
  <conditionalFormatting sqref="F18:F22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3">
    <cfRule type="colorScale" priority="4">
      <colorScale>
        <cfvo type="min"/>
        <cfvo type="max"/>
        <color rgb="FFFCFCFF"/>
        <color rgb="FFF8696B"/>
      </colorScale>
    </cfRule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42">
    <cfRule type="colorScale" priority="104">
      <colorScale>
        <cfvo type="min"/>
        <cfvo type="max"/>
        <color rgb="FFFCFCFF"/>
        <color rgb="FFF8696B"/>
      </colorScale>
    </cfRule>
  </conditionalFormatting>
  <conditionalFormatting sqref="F30:F43">
    <cfRule type="colorScale" priority="106">
      <colorScale>
        <cfvo type="min"/>
        <cfvo type="max"/>
        <color rgb="FFFCFCFF"/>
        <color rgb="FFF8696B"/>
      </colorScale>
    </cfRule>
    <cfRule type="colorScale" priority="10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11" location="AbaRemun" display="3.1.2. Remuneração do Capital"/>
    <hyperlink ref="A100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2" manualBreakCount="2">
    <brk id="78" max="5" man="1"/>
    <brk id="147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BreakPreview" topLeftCell="A10" zoomScaleNormal="100" zoomScaleSheetLayoutView="100" workbookViewId="0">
      <selection activeCell="G35" sqref="G35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x14ac:dyDescent="0.2">
      <c r="A1" s="264" t="s">
        <v>275</v>
      </c>
      <c r="B1" s="10"/>
      <c r="C1" s="10"/>
      <c r="D1" s="265"/>
      <c r="E1" s="265"/>
      <c r="F1" s="265"/>
    </row>
    <row r="2" spans="1:7" x14ac:dyDescent="0.2">
      <c r="A2" s="323" t="s">
        <v>282</v>
      </c>
      <c r="B2" s="324"/>
      <c r="C2" s="324"/>
      <c r="D2" s="324"/>
      <c r="E2" s="324"/>
      <c r="F2" s="324"/>
    </row>
    <row r="3" spans="1:7" x14ac:dyDescent="0.2">
      <c r="A3" s="324"/>
      <c r="B3" s="324"/>
      <c r="C3" s="324"/>
      <c r="D3" s="324"/>
      <c r="E3" s="324"/>
      <c r="F3" s="324"/>
    </row>
    <row r="4" spans="1:7" x14ac:dyDescent="0.2">
      <c r="A4" s="324"/>
      <c r="B4" s="324"/>
      <c r="C4" s="324"/>
      <c r="D4" s="324"/>
      <c r="E4" s="324"/>
      <c r="F4" s="324"/>
    </row>
    <row r="5" spans="1:7" s="2" customFormat="1" ht="15.6" customHeight="1" x14ac:dyDescent="0.2">
      <c r="A5" s="324"/>
      <c r="B5" s="324"/>
      <c r="C5" s="324"/>
      <c r="D5" s="324"/>
      <c r="E5" s="324"/>
      <c r="F5" s="324"/>
      <c r="G5" s="4"/>
    </row>
    <row r="6" spans="1:7" s="2" customFormat="1" ht="15.6" customHeight="1" x14ac:dyDescent="0.2">
      <c r="A6" s="324"/>
      <c r="B6" s="324"/>
      <c r="C6" s="324"/>
      <c r="D6" s="324"/>
      <c r="E6" s="324"/>
      <c r="F6" s="324"/>
      <c r="G6" s="4"/>
    </row>
    <row r="7" spans="1:7" s="2" customFormat="1" ht="15.6" customHeight="1" x14ac:dyDescent="0.2">
      <c r="A7" s="324"/>
      <c r="B7" s="324"/>
      <c r="C7" s="324"/>
      <c r="D7" s="324"/>
      <c r="E7" s="324"/>
      <c r="F7" s="324"/>
      <c r="G7" s="4"/>
    </row>
    <row r="8" spans="1:7" s="2" customFormat="1" ht="15.6" customHeight="1" x14ac:dyDescent="0.2">
      <c r="A8" s="324"/>
      <c r="B8" s="324"/>
      <c r="C8" s="324"/>
      <c r="D8" s="324"/>
      <c r="E8" s="324"/>
      <c r="F8" s="324"/>
      <c r="G8" s="4"/>
    </row>
    <row r="9" spans="1:7" s="2" customFormat="1" ht="15.6" customHeight="1" x14ac:dyDescent="0.2">
      <c r="A9" s="324"/>
      <c r="B9" s="324"/>
      <c r="C9" s="324"/>
      <c r="D9" s="324"/>
      <c r="E9" s="324"/>
      <c r="F9" s="324"/>
      <c r="G9" s="4"/>
    </row>
    <row r="10" spans="1:7" s="2" customFormat="1" ht="15.6" customHeight="1" x14ac:dyDescent="0.2">
      <c r="A10" s="324"/>
      <c r="B10" s="324"/>
      <c r="C10" s="324"/>
      <c r="D10" s="324"/>
      <c r="E10" s="324"/>
      <c r="F10" s="324"/>
      <c r="G10" s="4"/>
    </row>
    <row r="11" spans="1:7" s="2" customFormat="1" ht="16.5" customHeight="1" thickBot="1" x14ac:dyDescent="0.25">
      <c r="A11" s="325"/>
      <c r="B11" s="325"/>
      <c r="C11" s="325"/>
      <c r="D11" s="325"/>
      <c r="E11" s="325"/>
      <c r="F11" s="325"/>
      <c r="G11" s="4"/>
    </row>
    <row r="12" spans="1:7" s="6" customFormat="1" ht="18" customHeight="1" x14ac:dyDescent="0.2">
      <c r="A12" s="340" t="s">
        <v>332</v>
      </c>
      <c r="B12" s="340"/>
      <c r="C12" s="340"/>
      <c r="D12" s="340"/>
      <c r="E12" s="340"/>
      <c r="F12" s="340"/>
      <c r="G12" s="33"/>
    </row>
    <row r="13" spans="1:7" s="6" customFormat="1" ht="21.75" customHeight="1" x14ac:dyDescent="0.2">
      <c r="A13" s="341"/>
      <c r="B13" s="341"/>
      <c r="C13" s="341"/>
      <c r="D13" s="341"/>
      <c r="E13" s="341"/>
      <c r="F13" s="341"/>
      <c r="G13" s="33"/>
    </row>
    <row r="14" spans="1:7" s="6" customFormat="1" ht="21.75" customHeight="1" x14ac:dyDescent="0.2">
      <c r="A14" s="331" t="s">
        <v>39</v>
      </c>
      <c r="B14" s="332"/>
      <c r="C14" s="332"/>
      <c r="D14" s="332"/>
      <c r="E14" s="332"/>
      <c r="F14" s="333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7" t="s">
        <v>184</v>
      </c>
      <c r="B16" s="338"/>
      <c r="C16" s="338"/>
      <c r="D16" s="338"/>
      <c r="E16" s="338"/>
      <c r="F16" s="339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29899.663133602597</v>
      </c>
      <c r="F18" s="110">
        <f>E18/$E$22</f>
        <v>0.68939039767401333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3536.59</v>
      </c>
      <c r="F19" s="110">
        <f>E19/$E$22</f>
        <v>8.1542429946974943E-2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9934.9096131999995</v>
      </c>
      <c r="F20" s="110">
        <f>E20/$E$22</f>
        <v>0.22906717237901167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43371.162746802598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s="8" customFormat="1" ht="16.5" thickBot="1" x14ac:dyDescent="0.25">
      <c r="A24" s="283"/>
      <c r="B24" s="283"/>
      <c r="C24" s="283"/>
      <c r="D24" s="284"/>
      <c r="E24" s="284"/>
      <c r="F24" s="284"/>
      <c r="H24" s="7"/>
      <c r="I24" s="7"/>
      <c r="J24" s="7"/>
    </row>
    <row r="25" spans="1:10" s="8" customFormat="1" x14ac:dyDescent="0.2">
      <c r="A25" s="342" t="s">
        <v>301</v>
      </c>
      <c r="B25" s="342"/>
      <c r="C25" s="342"/>
      <c r="D25" s="342"/>
      <c r="E25" s="342"/>
      <c r="F25" s="342"/>
      <c r="H25" s="7"/>
      <c r="I25" s="7"/>
      <c r="J25" s="7"/>
    </row>
    <row r="26" spans="1:10" s="8" customFormat="1" x14ac:dyDescent="0.2">
      <c r="A26" s="343"/>
      <c r="B26" s="343"/>
      <c r="C26" s="343"/>
      <c r="D26" s="343"/>
      <c r="E26" s="343"/>
      <c r="F26" s="343"/>
      <c r="H26" s="7"/>
      <c r="I26" s="7"/>
      <c r="J26" s="7"/>
    </row>
    <row r="27" spans="1:10" s="8" customFormat="1" ht="15.75" thickBot="1" x14ac:dyDescent="0.25">
      <c r="A27" s="344" t="s">
        <v>302</v>
      </c>
      <c r="B27" s="345"/>
      <c r="C27" s="345"/>
      <c r="D27" s="345"/>
      <c r="E27" s="345"/>
      <c r="F27" s="346"/>
      <c r="H27" s="7"/>
      <c r="I27" s="7"/>
      <c r="J27" s="7"/>
    </row>
    <row r="28" spans="1:10" s="8" customFormat="1" ht="16.5" thickBot="1" x14ac:dyDescent="0.25">
      <c r="A28" s="337" t="s">
        <v>184</v>
      </c>
      <c r="B28" s="338"/>
      <c r="C28" s="338"/>
      <c r="D28" s="338"/>
      <c r="E28" s="338"/>
      <c r="F28" s="339"/>
      <c r="H28" s="7"/>
      <c r="I28" s="7"/>
      <c r="J28" s="7"/>
    </row>
    <row r="29" spans="1:10" s="8" customFormat="1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H29" s="7"/>
      <c r="I29" s="7"/>
      <c r="J29" s="7"/>
    </row>
    <row r="30" spans="1:10" s="8" customFormat="1" x14ac:dyDescent="0.2">
      <c r="A30" s="107" t="str">
        <f>A35</f>
        <v>1. Destinação do Resíduo</v>
      </c>
      <c r="B30" s="108"/>
      <c r="C30" s="109"/>
      <c r="D30" s="109"/>
      <c r="E30" s="213">
        <f>F39</f>
        <v>0</v>
      </c>
      <c r="F30" s="110">
        <f>IFERROR(E30/$E$33,0)</f>
        <v>0</v>
      </c>
      <c r="H30" s="7"/>
      <c r="I30" s="7"/>
      <c r="J30" s="7"/>
    </row>
    <row r="31" spans="1:10" s="8" customFormat="1" x14ac:dyDescent="0.2">
      <c r="A31" s="41" t="str">
        <f>A38</f>
        <v>Destinação final em aterro sanitário licenciado</v>
      </c>
      <c r="B31" s="38"/>
      <c r="C31" s="39"/>
      <c r="D31" s="39"/>
      <c r="E31" s="214">
        <f>F39</f>
        <v>0</v>
      </c>
      <c r="F31" s="110">
        <f>IFERROR(E31/$E$33,0)</f>
        <v>0</v>
      </c>
      <c r="H31" s="7"/>
      <c r="I31" s="7"/>
      <c r="J31" s="7"/>
    </row>
    <row r="32" spans="1:10" s="8" customFormat="1" ht="13.5" thickBot="1" x14ac:dyDescent="0.25">
      <c r="A32" s="118" t="str">
        <f>A43</f>
        <v>8. Benefícios e Despesas Indiretas - BDI</v>
      </c>
      <c r="B32" s="280"/>
      <c r="C32" s="109"/>
      <c r="D32" s="109"/>
      <c r="E32" s="215">
        <f>+F49</f>
        <v>0</v>
      </c>
      <c r="F32" s="110">
        <f>IFERROR(E32/$E$33,0)</f>
        <v>0</v>
      </c>
      <c r="H32" s="7"/>
      <c r="I32" s="7"/>
      <c r="J32" s="7"/>
    </row>
    <row r="33" spans="1:10" s="8" customFormat="1" ht="13.5" thickBot="1" x14ac:dyDescent="0.25">
      <c r="A33" s="36" t="s">
        <v>298</v>
      </c>
      <c r="B33" s="282"/>
      <c r="C33" s="24"/>
      <c r="D33" s="24"/>
      <c r="E33" s="98">
        <f>E30+E32</f>
        <v>0</v>
      </c>
      <c r="F33" s="121">
        <f>F30+F32</f>
        <v>0</v>
      </c>
      <c r="H33" s="7"/>
      <c r="I33" s="7"/>
      <c r="J33" s="7"/>
    </row>
    <row r="35" spans="1:10" s="8" customFormat="1" x14ac:dyDescent="0.2">
      <c r="A35" s="9" t="s">
        <v>303</v>
      </c>
      <c r="B35" s="7"/>
      <c r="C35" s="7"/>
      <c r="H35" s="7"/>
      <c r="I35" s="7"/>
      <c r="J35" s="7"/>
    </row>
    <row r="36" spans="1:10" s="8" customFormat="1" ht="13.5" thickBot="1" x14ac:dyDescent="0.25">
      <c r="A36" s="7"/>
      <c r="B36" s="7"/>
      <c r="C36" s="7"/>
      <c r="H36" s="7"/>
      <c r="I36" s="7"/>
      <c r="J36" s="7"/>
    </row>
    <row r="37" spans="1:10" s="8" customFormat="1" ht="13.5" thickBot="1" x14ac:dyDescent="0.25">
      <c r="A37" s="48" t="s">
        <v>59</v>
      </c>
      <c r="B37" s="49" t="s">
        <v>60</v>
      </c>
      <c r="C37" s="49" t="s">
        <v>36</v>
      </c>
      <c r="D37" s="50" t="s">
        <v>212</v>
      </c>
      <c r="E37" s="50" t="s">
        <v>61</v>
      </c>
      <c r="F37" s="51" t="s">
        <v>62</v>
      </c>
      <c r="H37" s="7"/>
      <c r="I37" s="7"/>
      <c r="J37" s="7"/>
    </row>
    <row r="38" spans="1:10" s="8" customFormat="1" ht="13.5" thickBot="1" x14ac:dyDescent="0.25">
      <c r="A38" s="255" t="s">
        <v>304</v>
      </c>
      <c r="B38" s="279" t="s">
        <v>325</v>
      </c>
      <c r="C38" s="292">
        <f>'7. Dimensionamento'!C15</f>
        <v>43.961399999999998</v>
      </c>
      <c r="D38" s="71">
        <v>0</v>
      </c>
      <c r="E38" s="13">
        <f>C38*D38</f>
        <v>0</v>
      </c>
      <c r="H38" s="7"/>
      <c r="I38" s="7"/>
      <c r="J38" s="7"/>
    </row>
    <row r="39" spans="1:10" s="8" customFormat="1" ht="13.5" thickBot="1" x14ac:dyDescent="0.25">
      <c r="A39" s="7"/>
      <c r="B39" s="7"/>
      <c r="C39" s="7"/>
      <c r="D39" s="105"/>
      <c r="E39"/>
      <c r="F39" s="19">
        <f>E38</f>
        <v>0</v>
      </c>
      <c r="H39" s="7"/>
      <c r="I39" s="7"/>
      <c r="J39" s="7"/>
    </row>
    <row r="40" spans="1:10" s="8" customFormat="1" ht="13.5" thickBot="1" x14ac:dyDescent="0.25">
      <c r="A40" s="7"/>
      <c r="B40" s="7"/>
      <c r="C40" s="7"/>
      <c r="D40"/>
      <c r="E40"/>
      <c r="F40"/>
      <c r="H40" s="7"/>
      <c r="I40" s="7"/>
      <c r="J40" s="7"/>
    </row>
    <row r="41" spans="1:10" s="8" customFormat="1" ht="13.5" thickBot="1" x14ac:dyDescent="0.25">
      <c r="A41" s="22" t="s">
        <v>202</v>
      </c>
      <c r="B41" s="26"/>
      <c r="C41" s="26"/>
      <c r="D41" s="27"/>
      <c r="E41" s="28"/>
      <c r="F41" s="20">
        <f>F39</f>
        <v>0</v>
      </c>
      <c r="H41" s="7"/>
      <c r="I41" s="7"/>
      <c r="J41" s="7"/>
    </row>
    <row r="42" spans="1:10" s="8" customFormat="1" x14ac:dyDescent="0.2">
      <c r="A42" s="7"/>
      <c r="B42" s="7"/>
      <c r="C42" s="7"/>
      <c r="H42" s="7"/>
      <c r="I42" s="7"/>
      <c r="J42" s="7"/>
    </row>
    <row r="43" spans="1:10" s="8" customFormat="1" x14ac:dyDescent="0.2">
      <c r="A43" s="9" t="s">
        <v>295</v>
      </c>
      <c r="B43" s="7"/>
      <c r="C43" s="7"/>
      <c r="H43" s="7"/>
      <c r="I43" s="7"/>
      <c r="J43" s="7"/>
    </row>
    <row r="44" spans="1:10" ht="13.5" thickBot="1" x14ac:dyDescent="0.25"/>
    <row r="45" spans="1:10" ht="13.5" thickBot="1" x14ac:dyDescent="0.25">
      <c r="A45" s="48" t="s">
        <v>59</v>
      </c>
      <c r="B45" s="49" t="s">
        <v>60</v>
      </c>
      <c r="C45" s="49" t="s">
        <v>36</v>
      </c>
      <c r="D45" s="50" t="s">
        <v>212</v>
      </c>
      <c r="E45" s="50" t="s">
        <v>61</v>
      </c>
      <c r="F45" s="51" t="s">
        <v>62</v>
      </c>
    </row>
    <row r="46" spans="1:10" ht="13.5" thickBot="1" x14ac:dyDescent="0.25">
      <c r="A46" s="11" t="s">
        <v>32</v>
      </c>
      <c r="B46" s="12" t="s">
        <v>2</v>
      </c>
      <c r="C46" s="120">
        <f>'4.BDI'!C20*100</f>
        <v>25.5</v>
      </c>
      <c r="D46" s="13">
        <f>+F41</f>
        <v>0</v>
      </c>
      <c r="E46" s="13">
        <f>C46*D46/100</f>
        <v>0</v>
      </c>
    </row>
    <row r="47" spans="1:10" ht="13.5" thickBot="1" x14ac:dyDescent="0.25">
      <c r="F47" s="19">
        <f>+E46</f>
        <v>0</v>
      </c>
    </row>
    <row r="48" spans="1:10" ht="13.5" thickBot="1" x14ac:dyDescent="0.25"/>
    <row r="49" spans="1:6" ht="13.5" thickBot="1" x14ac:dyDescent="0.25">
      <c r="A49" s="22" t="s">
        <v>217</v>
      </c>
      <c r="B49" s="26"/>
      <c r="C49" s="26"/>
      <c r="D49" s="27"/>
      <c r="E49" s="28"/>
      <c r="F49" s="20">
        <f>F47</f>
        <v>0</v>
      </c>
    </row>
    <row r="50" spans="1:6" x14ac:dyDescent="0.2">
      <c r="A50" s="9"/>
      <c r="B50" s="9"/>
      <c r="C50" s="9"/>
      <c r="D50" s="32"/>
      <c r="E50" s="32"/>
      <c r="F50" s="31"/>
    </row>
    <row r="51" spans="1:6" ht="13.5" thickBot="1" x14ac:dyDescent="0.25"/>
    <row r="52" spans="1:6" ht="13.5" thickBot="1" x14ac:dyDescent="0.25">
      <c r="A52" s="22" t="s">
        <v>203</v>
      </c>
      <c r="B52" s="26"/>
      <c r="C52" s="26"/>
      <c r="D52" s="27"/>
      <c r="E52" s="28"/>
      <c r="F52" s="20">
        <f>F41+F49</f>
        <v>0</v>
      </c>
    </row>
    <row r="56" spans="1:6" x14ac:dyDescent="0.2">
      <c r="A56"/>
      <c r="B56"/>
      <c r="C56"/>
      <c r="D56" s="347"/>
      <c r="E56" s="347"/>
      <c r="F56" s="347"/>
    </row>
    <row r="57" spans="1:6" x14ac:dyDescent="0.2">
      <c r="A57"/>
      <c r="B57"/>
      <c r="C57"/>
      <c r="D57"/>
      <c r="E57"/>
      <c r="F57"/>
    </row>
    <row r="58" spans="1:6" x14ac:dyDescent="0.2">
      <c r="A58" s="348"/>
      <c r="B58" s="348"/>
      <c r="C58" s="348"/>
      <c r="D58" s="348"/>
      <c r="E58" s="348"/>
      <c r="F58" s="348"/>
    </row>
    <row r="59" spans="1:6" x14ac:dyDescent="0.2">
      <c r="A59" s="348"/>
      <c r="B59" s="348"/>
      <c r="C59" s="348"/>
      <c r="D59" s="348"/>
      <c r="E59" s="348"/>
      <c r="F59" s="348"/>
    </row>
    <row r="60" spans="1:6" x14ac:dyDescent="0.2">
      <c r="A60" s="347"/>
      <c r="B60" s="347"/>
      <c r="C60" s="347"/>
      <c r="D60" s="347"/>
      <c r="E60" s="347"/>
      <c r="F60" s="347"/>
    </row>
    <row r="61" spans="1:6" x14ac:dyDescent="0.2">
      <c r="A61"/>
      <c r="B61"/>
      <c r="C61"/>
      <c r="D61"/>
      <c r="E61"/>
      <c r="F61"/>
    </row>
  </sheetData>
  <mergeCells count="11">
    <mergeCell ref="A27:F27"/>
    <mergeCell ref="A2:F11"/>
    <mergeCell ref="A12:F13"/>
    <mergeCell ref="A14:F14"/>
    <mergeCell ref="A16:F16"/>
    <mergeCell ref="A25:F26"/>
    <mergeCell ref="D56:F56"/>
    <mergeCell ref="A58:F58"/>
    <mergeCell ref="A59:F59"/>
    <mergeCell ref="A60:F60"/>
    <mergeCell ref="A28:F28"/>
  </mergeCells>
  <conditionalFormatting sqref="F18:F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32">
    <cfRule type="colorScale" priority="79">
      <colorScale>
        <cfvo type="min"/>
        <cfvo type="max"/>
        <color rgb="FFFCFCFF"/>
        <color rgb="FFF8696B"/>
      </colorScale>
    </cfRule>
  </conditionalFormatting>
  <conditionalFormatting sqref="F30:F33">
    <cfRule type="colorScale" priority="75">
      <colorScale>
        <cfvo type="min"/>
        <cfvo type="max"/>
        <color rgb="FFFCFCFF"/>
        <color rgb="FFF8696B"/>
      </colorScale>
    </cfRule>
    <cfRule type="colorScale" priority="7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7" zoomScaleNormal="100" workbookViewId="0">
      <selection activeCell="E38" sqref="E38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8" width="9.140625" style="1"/>
    <col min="9" max="9" width="11" style="1" bestFit="1" customWidth="1"/>
    <col min="10" max="16384" width="9.140625" style="1"/>
  </cols>
  <sheetData>
    <row r="1" spans="1:5" x14ac:dyDescent="0.2">
      <c r="A1" s="9" t="s">
        <v>185</v>
      </c>
    </row>
    <row r="2" spans="1:5" x14ac:dyDescent="0.2">
      <c r="A2" s="119" t="s">
        <v>223</v>
      </c>
    </row>
    <row r="3" spans="1:5" s="2" customFormat="1" ht="15.6" customHeight="1" x14ac:dyDescent="0.2">
      <c r="B3" s="3"/>
      <c r="C3" s="3"/>
      <c r="D3" s="3"/>
      <c r="E3" s="4"/>
    </row>
    <row r="4" spans="1:5" s="2" customFormat="1" ht="15.6" customHeight="1" x14ac:dyDescent="0.2">
      <c r="A4" s="253"/>
      <c r="B4" s="3"/>
      <c r="C4" s="3"/>
      <c r="D4" s="3"/>
      <c r="E4" s="4"/>
    </row>
    <row r="5" spans="1:5" s="2" customFormat="1" ht="16.5" customHeight="1" x14ac:dyDescent="0.2">
      <c r="A5" s="253"/>
      <c r="B5" s="3"/>
      <c r="C5" s="3"/>
      <c r="D5" s="4"/>
      <c r="E5" s="4"/>
    </row>
    <row r="6" spans="1:5" ht="13.5" thickBot="1" x14ac:dyDescent="0.25"/>
    <row r="7" spans="1:5" ht="18" x14ac:dyDescent="0.2">
      <c r="A7" s="349" t="s">
        <v>206</v>
      </c>
      <c r="B7" s="350"/>
      <c r="C7" s="351"/>
      <c r="D7" s="126"/>
    </row>
    <row r="8" spans="1:5" ht="14.25" x14ac:dyDescent="0.2">
      <c r="A8" s="141" t="s">
        <v>125</v>
      </c>
      <c r="B8" s="142" t="s">
        <v>126</v>
      </c>
      <c r="C8" s="143" t="s">
        <v>127</v>
      </c>
    </row>
    <row r="9" spans="1:5" ht="14.25" x14ac:dyDescent="0.2">
      <c r="A9" s="141" t="s">
        <v>128</v>
      </c>
      <c r="B9" s="142" t="s">
        <v>37</v>
      </c>
      <c r="C9" s="145">
        <v>0.2</v>
      </c>
    </row>
    <row r="10" spans="1:5" ht="14.25" x14ac:dyDescent="0.2">
      <c r="A10" s="141" t="s">
        <v>129</v>
      </c>
      <c r="B10" s="142" t="s">
        <v>130</v>
      </c>
      <c r="C10" s="145">
        <v>1.4999999999999999E-2</v>
      </c>
    </row>
    <row r="11" spans="1:5" ht="14.25" x14ac:dyDescent="0.2">
      <c r="A11" s="141" t="s">
        <v>131</v>
      </c>
      <c r="B11" s="142" t="s">
        <v>132</v>
      </c>
      <c r="C11" s="145">
        <v>0.01</v>
      </c>
    </row>
    <row r="12" spans="1:5" ht="14.25" x14ac:dyDescent="0.2">
      <c r="A12" s="141" t="s">
        <v>133</v>
      </c>
      <c r="B12" s="142" t="s">
        <v>134</v>
      </c>
      <c r="C12" s="145">
        <v>2E-3</v>
      </c>
    </row>
    <row r="13" spans="1:5" ht="14.25" x14ac:dyDescent="0.2">
      <c r="A13" s="141" t="s">
        <v>135</v>
      </c>
      <c r="B13" s="142" t="s">
        <v>136</v>
      </c>
      <c r="C13" s="145">
        <v>6.0000000000000001E-3</v>
      </c>
    </row>
    <row r="14" spans="1:5" ht="14.25" x14ac:dyDescent="0.2">
      <c r="A14" s="141" t="s">
        <v>137</v>
      </c>
      <c r="B14" s="142" t="s">
        <v>138</v>
      </c>
      <c r="C14" s="145">
        <v>2.5000000000000001E-2</v>
      </c>
    </row>
    <row r="15" spans="1:5" ht="14.25" x14ac:dyDescent="0.2">
      <c r="A15" s="141" t="s">
        <v>139</v>
      </c>
      <c r="B15" s="142" t="s">
        <v>140</v>
      </c>
      <c r="C15" s="145">
        <v>0.03</v>
      </c>
    </row>
    <row r="16" spans="1:5" ht="14.25" x14ac:dyDescent="0.2">
      <c r="A16" s="141" t="s">
        <v>141</v>
      </c>
      <c r="B16" s="142" t="s">
        <v>38</v>
      </c>
      <c r="C16" s="145">
        <v>0.08</v>
      </c>
    </row>
    <row r="17" spans="1:6" ht="15" x14ac:dyDescent="0.2">
      <c r="A17" s="141" t="s">
        <v>142</v>
      </c>
      <c r="B17" s="146" t="s">
        <v>143</v>
      </c>
      <c r="C17" s="147">
        <f>SUM(C9:C16)</f>
        <v>0.36800000000000005</v>
      </c>
    </row>
    <row r="18" spans="1:6" ht="15" x14ac:dyDescent="0.2">
      <c r="A18" s="148"/>
      <c r="B18" s="149"/>
      <c r="C18" s="150"/>
    </row>
    <row r="19" spans="1:6" ht="14.25" x14ac:dyDescent="0.2">
      <c r="A19" s="141" t="s">
        <v>144</v>
      </c>
      <c r="B19" s="151" t="s">
        <v>145</v>
      </c>
      <c r="C19" s="145">
        <f>ROUND(IF('3.CAGED'!C27&gt;24,(1-12/'3.CAGED'!C27)*0.1111,0.1111-C28),4)</f>
        <v>5.6000000000000001E-2</v>
      </c>
    </row>
    <row r="20" spans="1:6" ht="14.25" x14ac:dyDescent="0.2">
      <c r="A20" s="141" t="s">
        <v>146</v>
      </c>
      <c r="B20" s="151" t="s">
        <v>147</v>
      </c>
      <c r="C20" s="145">
        <f>ROUND('3.CAGED'!C31/'3.CAGED'!C28,4)</f>
        <v>8.3299999999999999E-2</v>
      </c>
    </row>
    <row r="21" spans="1:6" ht="14.25" x14ac:dyDescent="0.2">
      <c r="A21" s="141" t="s">
        <v>196</v>
      </c>
      <c r="B21" s="151" t="s">
        <v>149</v>
      </c>
      <c r="C21" s="145">
        <v>5.9999999999999995E-4</v>
      </c>
    </row>
    <row r="22" spans="1:6" ht="14.25" x14ac:dyDescent="0.2">
      <c r="A22" s="141" t="s">
        <v>148</v>
      </c>
      <c r="B22" s="151" t="s">
        <v>151</v>
      </c>
      <c r="C22" s="145">
        <v>8.2000000000000007E-3</v>
      </c>
    </row>
    <row r="23" spans="1:6" ht="14.25" x14ac:dyDescent="0.2">
      <c r="A23" s="141" t="s">
        <v>150</v>
      </c>
      <c r="B23" s="151" t="s">
        <v>153</v>
      </c>
      <c r="C23" s="145">
        <v>3.0999999999999999E-3</v>
      </c>
    </row>
    <row r="24" spans="1:6" ht="14.25" x14ac:dyDescent="0.2">
      <c r="A24" s="141" t="s">
        <v>152</v>
      </c>
      <c r="B24" s="151" t="s">
        <v>154</v>
      </c>
      <c r="C24" s="145">
        <v>1.66E-2</v>
      </c>
    </row>
    <row r="25" spans="1:6" ht="15" x14ac:dyDescent="0.2">
      <c r="A25" s="141" t="s">
        <v>155</v>
      </c>
      <c r="B25" s="146" t="s">
        <v>156</v>
      </c>
      <c r="C25" s="147">
        <f>SUM(C19:C24)</f>
        <v>0.1678</v>
      </c>
    </row>
    <row r="26" spans="1:6" ht="15" x14ac:dyDescent="0.2">
      <c r="A26" s="148"/>
      <c r="B26" s="149"/>
      <c r="C26" s="150"/>
    </row>
    <row r="27" spans="1:6" ht="14.25" x14ac:dyDescent="0.2">
      <c r="A27" s="141" t="s">
        <v>157</v>
      </c>
      <c r="B27" s="142" t="s">
        <v>158</v>
      </c>
      <c r="C27" s="145">
        <f>ROUND(('3.CAGED'!C32) *'3.CAGED'!C25/'3.CAGED'!C28,4)</f>
        <v>2.6499999999999999E-2</v>
      </c>
    </row>
    <row r="28" spans="1:6" ht="14.25" x14ac:dyDescent="0.2">
      <c r="A28" s="141" t="s">
        <v>195</v>
      </c>
      <c r="B28" s="142" t="s">
        <v>160</v>
      </c>
      <c r="C28" s="145">
        <f>ROUND(IF('3.CAGED'!C27&gt;12,12/'3.CAGED'!C27*0.1111,0.1111),4)</f>
        <v>5.5100000000000003E-2</v>
      </c>
      <c r="F28" s="152"/>
    </row>
    <row r="29" spans="1:6" ht="14.25" x14ac:dyDescent="0.2">
      <c r="A29" s="141" t="s">
        <v>159</v>
      </c>
      <c r="B29" s="142" t="s">
        <v>162</v>
      </c>
      <c r="C29" s="145">
        <f>C27*C28</f>
        <v>1.4601500000000001E-3</v>
      </c>
    </row>
    <row r="30" spans="1:6" ht="14.25" x14ac:dyDescent="0.2">
      <c r="A30" s="141" t="s">
        <v>161</v>
      </c>
      <c r="B30" s="142" t="s">
        <v>164</v>
      </c>
      <c r="C30" s="145">
        <f>ROUND(('3.CAGED'!C28+'3.CAGED'!C29+'3.CAGED'!C31)/'3.CAGED'!C26*'3.CAGED'!C33*'3.CAGED'!C34*'3.CAGED'!C25/'3.CAGED'!C28,4)</f>
        <v>1.9E-2</v>
      </c>
      <c r="E30" s="153"/>
    </row>
    <row r="31" spans="1:6" ht="14.25" x14ac:dyDescent="0.2">
      <c r="A31" s="141" t="s">
        <v>163</v>
      </c>
      <c r="B31" s="142" t="s">
        <v>165</v>
      </c>
      <c r="C31" s="145">
        <f>ROUND(('3.CAGED'!C30/'3.CAGED'!C28)*'3.CAGED'!C25/12,4)</f>
        <v>1.8E-3</v>
      </c>
    </row>
    <row r="32" spans="1:6" ht="15" x14ac:dyDescent="0.2">
      <c r="A32" s="141" t="s">
        <v>166</v>
      </c>
      <c r="B32" s="146" t="s">
        <v>167</v>
      </c>
      <c r="C32" s="147">
        <f>SUM(C27:C31)</f>
        <v>0.10386015</v>
      </c>
    </row>
    <row r="33" spans="1:3" ht="15" x14ac:dyDescent="0.2">
      <c r="A33" s="148"/>
      <c r="B33" s="149"/>
      <c r="C33" s="150"/>
    </row>
    <row r="34" spans="1:3" ht="14.25" x14ac:dyDescent="0.2">
      <c r="A34" s="141" t="s">
        <v>168</v>
      </c>
      <c r="B34" s="142" t="s">
        <v>169</v>
      </c>
      <c r="C34" s="145">
        <f>ROUND(C17*C25,4)</f>
        <v>6.1800000000000001E-2</v>
      </c>
    </row>
    <row r="35" spans="1:3" ht="28.5" x14ac:dyDescent="0.2">
      <c r="A35" s="141" t="s">
        <v>170</v>
      </c>
      <c r="B35" s="154" t="s">
        <v>259</v>
      </c>
      <c r="C35" s="145">
        <f>ROUND((C27*C16),4)</f>
        <v>2.0999999999999999E-3</v>
      </c>
    </row>
    <row r="36" spans="1:3" ht="15" x14ac:dyDescent="0.2">
      <c r="A36" s="141" t="s">
        <v>171</v>
      </c>
      <c r="B36" s="146" t="s">
        <v>172</v>
      </c>
      <c r="C36" s="147">
        <f>SUM(C34:C35)</f>
        <v>6.3899999999999998E-2</v>
      </c>
    </row>
    <row r="37" spans="1:3" ht="15.75" thickBot="1" x14ac:dyDescent="0.25">
      <c r="A37" s="156"/>
      <c r="B37" s="157" t="s">
        <v>173</v>
      </c>
      <c r="C37" s="158">
        <f>C36+C32+C25+C17</f>
        <v>0.70356015000000005</v>
      </c>
    </row>
    <row r="38" spans="1:3" ht="15" x14ac:dyDescent="0.2">
      <c r="A38" s="144"/>
      <c r="B38" s="159"/>
      <c r="C38" s="160"/>
    </row>
    <row r="39" spans="1:3" ht="14.25" x14ac:dyDescent="0.2">
      <c r="A39" s="144"/>
      <c r="B39" s="144"/>
      <c r="C39" s="161"/>
    </row>
    <row r="40" spans="1:3" ht="14.25" x14ac:dyDescent="0.2">
      <c r="A40" s="144"/>
      <c r="B40" s="144"/>
      <c r="C40" s="161"/>
    </row>
    <row r="41" spans="1:3" ht="14.25" x14ac:dyDescent="0.2">
      <c r="A41" s="144"/>
      <c r="B41" s="144"/>
      <c r="C41" s="161"/>
    </row>
    <row r="42" spans="1:3" ht="14.25" x14ac:dyDescent="0.2">
      <c r="A42" s="144"/>
      <c r="B42" s="144"/>
      <c r="C42" s="161"/>
    </row>
    <row r="43" spans="1:3" ht="15" x14ac:dyDescent="0.2">
      <c r="A43" s="144"/>
      <c r="B43" s="159"/>
      <c r="C43" s="160"/>
    </row>
    <row r="44" spans="1:3" ht="15" x14ac:dyDescent="0.2">
      <c r="A44" s="155"/>
      <c r="B44" s="159"/>
      <c r="C44" s="160"/>
    </row>
    <row r="45" spans="1:3" ht="16.5" x14ac:dyDescent="0.2">
      <c r="A45" s="162"/>
    </row>
    <row r="46" spans="1:3" x14ac:dyDescent="0.2">
      <c r="A46" s="163"/>
      <c r="B46" s="164"/>
      <c r="C46" s="164"/>
    </row>
    <row r="47" spans="1:3" ht="14.25" x14ac:dyDescent="0.2">
      <c r="A47" s="144"/>
      <c r="B47" s="165"/>
      <c r="C47" s="164"/>
    </row>
    <row r="48" spans="1:3" ht="14.25" x14ac:dyDescent="0.2">
      <c r="A48" s="144"/>
      <c r="B48" s="165"/>
      <c r="C48" s="144"/>
    </row>
    <row r="49" spans="1:3" ht="14.25" x14ac:dyDescent="0.2">
      <c r="A49" s="144"/>
      <c r="B49" s="161"/>
      <c r="C49" s="164"/>
    </row>
    <row r="50" spans="1:3" ht="14.25" x14ac:dyDescent="0.2">
      <c r="A50" s="144"/>
      <c r="B50" s="165"/>
      <c r="C50" s="144"/>
    </row>
    <row r="51" spans="1:3" ht="14.25" x14ac:dyDescent="0.2">
      <c r="A51" s="144"/>
      <c r="B51" s="161"/>
      <c r="C51" s="164"/>
    </row>
    <row r="52" spans="1:3" ht="14.25" x14ac:dyDescent="0.2">
      <c r="A52" s="144"/>
      <c r="B52" s="165"/>
      <c r="C52" s="144"/>
    </row>
    <row r="53" spans="1:3" ht="14.25" x14ac:dyDescent="0.2">
      <c r="A53" s="144"/>
      <c r="B53" s="161"/>
      <c r="C53" s="164"/>
    </row>
    <row r="54" spans="1:3" ht="14.25" x14ac:dyDescent="0.2">
      <c r="A54" s="144"/>
      <c r="B54" s="165"/>
      <c r="C54" s="144"/>
    </row>
    <row r="55" spans="1:3" ht="14.25" x14ac:dyDescent="0.2">
      <c r="A55" s="144"/>
      <c r="B55" s="161"/>
      <c r="C55" s="164"/>
    </row>
    <row r="56" spans="1:3" ht="16.5" x14ac:dyDescent="0.2">
      <c r="A56" s="162"/>
    </row>
    <row r="59" spans="1:3" x14ac:dyDescent="0.2">
      <c r="A59" s="166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E35" sqref="E3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91" t="s">
        <v>218</v>
      </c>
    </row>
    <row r="3" spans="1:3" x14ac:dyDescent="0.2">
      <c r="A3" s="254" t="s">
        <v>271</v>
      </c>
    </row>
    <row r="4" spans="1:3" x14ac:dyDescent="0.2">
      <c r="A4" s="254" t="s">
        <v>270</v>
      </c>
    </row>
    <row r="5" spans="1:3" ht="13.5" thickBot="1" x14ac:dyDescent="0.25"/>
    <row r="6" spans="1:3" ht="18" x14ac:dyDescent="0.25">
      <c r="B6" s="352" t="s">
        <v>204</v>
      </c>
      <c r="C6" s="353"/>
    </row>
    <row r="7" spans="1:3" ht="15" x14ac:dyDescent="0.25">
      <c r="B7" s="131" t="s">
        <v>187</v>
      </c>
      <c r="C7" s="167"/>
    </row>
    <row r="8" spans="1:3" ht="15" x14ac:dyDescent="0.25">
      <c r="B8" s="132" t="s">
        <v>109</v>
      </c>
      <c r="C8" s="309">
        <v>3621</v>
      </c>
    </row>
    <row r="9" spans="1:3" ht="15" x14ac:dyDescent="0.25">
      <c r="B9" s="133" t="s">
        <v>110</v>
      </c>
      <c r="C9" s="309">
        <v>3037</v>
      </c>
    </row>
    <row r="10" spans="1:3" ht="14.25" x14ac:dyDescent="0.2">
      <c r="B10" s="168" t="s">
        <v>111</v>
      </c>
      <c r="C10" s="310">
        <v>66.18524021792966</v>
      </c>
    </row>
    <row r="11" spans="1:3" ht="14.25" x14ac:dyDescent="0.2">
      <c r="B11" s="168" t="s">
        <v>112</v>
      </c>
      <c r="C11" s="310">
        <v>1780.9846458642894</v>
      </c>
    </row>
    <row r="12" spans="1:3" ht="14.25" x14ac:dyDescent="0.2">
      <c r="B12" s="168" t="s">
        <v>113</v>
      </c>
      <c r="C12" s="310">
        <v>556.5577018325904</v>
      </c>
    </row>
    <row r="13" spans="1:3" ht="14.25" x14ac:dyDescent="0.2">
      <c r="B13" s="168" t="s">
        <v>114</v>
      </c>
      <c r="C13" s="310">
        <v>33.09262010896483</v>
      </c>
    </row>
    <row r="14" spans="1:3" ht="14.25" x14ac:dyDescent="0.2">
      <c r="B14" s="168" t="s">
        <v>115</v>
      </c>
      <c r="C14" s="310">
        <v>523.46508172362553</v>
      </c>
    </row>
    <row r="15" spans="1:3" ht="14.25" x14ac:dyDescent="0.2">
      <c r="B15" s="168" t="s">
        <v>116</v>
      </c>
      <c r="C15" s="310">
        <v>1.504210004952947</v>
      </c>
    </row>
    <row r="16" spans="1:3" ht="14.25" x14ac:dyDescent="0.2">
      <c r="B16" s="168" t="s">
        <v>117</v>
      </c>
      <c r="C16" s="310">
        <v>45.126300148588406</v>
      </c>
    </row>
    <row r="17" spans="1:5" ht="14.25" x14ac:dyDescent="0.2">
      <c r="B17" s="170" t="s">
        <v>118</v>
      </c>
      <c r="C17" s="313">
        <v>0</v>
      </c>
    </row>
    <row r="18" spans="1:5" ht="14.25" x14ac:dyDescent="0.2">
      <c r="B18" s="260" t="s">
        <v>266</v>
      </c>
      <c r="C18" s="313">
        <v>0</v>
      </c>
    </row>
    <row r="19" spans="1:5" ht="15" x14ac:dyDescent="0.25">
      <c r="A19" s="1" t="s">
        <v>119</v>
      </c>
      <c r="B19" s="131" t="s">
        <v>120</v>
      </c>
      <c r="C19" s="167"/>
    </row>
    <row r="20" spans="1:5" ht="14.25" x14ac:dyDescent="0.2">
      <c r="B20" s="171" t="s">
        <v>268</v>
      </c>
      <c r="C20" s="311">
        <v>6471</v>
      </c>
    </row>
    <row r="21" spans="1:5" ht="14.25" x14ac:dyDescent="0.2">
      <c r="B21" s="168" t="s">
        <v>269</v>
      </c>
      <c r="C21" s="312">
        <v>6953</v>
      </c>
    </row>
    <row r="22" spans="1:5" ht="14.25" x14ac:dyDescent="0.2">
      <c r="B22" s="168" t="s">
        <v>267</v>
      </c>
      <c r="C22" s="312">
        <v>584</v>
      </c>
    </row>
    <row r="23" spans="1:5" ht="14.25" x14ac:dyDescent="0.2">
      <c r="B23" s="172"/>
      <c r="C23" s="173"/>
    </row>
    <row r="24" spans="1:5" s="91" customFormat="1" ht="15" x14ac:dyDescent="0.25">
      <c r="B24" s="132" t="s">
        <v>122</v>
      </c>
      <c r="C24" s="174">
        <f>MEDIAN(C20,C21)</f>
        <v>6712</v>
      </c>
    </row>
    <row r="25" spans="1:5" ht="15" x14ac:dyDescent="0.25">
      <c r="B25" s="133" t="s">
        <v>264</v>
      </c>
      <c r="C25" s="258">
        <f>C11/C24</f>
        <v>0.26534336201792152</v>
      </c>
    </row>
    <row r="26" spans="1:5" ht="15" x14ac:dyDescent="0.25">
      <c r="B26" s="133" t="s">
        <v>265</v>
      </c>
      <c r="C26" s="258">
        <f>MEDIAN(C8,C9)/C24</f>
        <v>0.49597735399284865</v>
      </c>
      <c r="E26" s="231"/>
    </row>
    <row r="27" spans="1:5" s="91" customFormat="1" ht="15" x14ac:dyDescent="0.25">
      <c r="B27" s="133" t="s">
        <v>224</v>
      </c>
      <c r="C27" s="256">
        <f>12/C26</f>
        <v>24.194653048963652</v>
      </c>
    </row>
    <row r="28" spans="1:5" ht="15" x14ac:dyDescent="0.25">
      <c r="B28" s="133" t="s">
        <v>121</v>
      </c>
      <c r="C28" s="135">
        <v>360</v>
      </c>
    </row>
    <row r="29" spans="1:5" ht="15" x14ac:dyDescent="0.25">
      <c r="B29" s="133" t="s">
        <v>219</v>
      </c>
      <c r="C29" s="135">
        <v>10</v>
      </c>
    </row>
    <row r="30" spans="1:5" ht="15" x14ac:dyDescent="0.25">
      <c r="B30" s="132" t="s">
        <v>220</v>
      </c>
      <c r="C30" s="134">
        <v>30</v>
      </c>
    </row>
    <row r="31" spans="1:5" ht="15" x14ac:dyDescent="0.25">
      <c r="B31" s="132" t="s">
        <v>221</v>
      </c>
      <c r="C31" s="134">
        <v>30</v>
      </c>
    </row>
    <row r="32" spans="1:5" s="91" customFormat="1" ht="15" x14ac:dyDescent="0.25">
      <c r="B32" s="132" t="s">
        <v>124</v>
      </c>
      <c r="C32" s="134">
        <f>30+(3*TRUNC(1/C26))</f>
        <v>36</v>
      </c>
    </row>
    <row r="33" spans="2:7" s="91" customFormat="1" ht="15" x14ac:dyDescent="0.25">
      <c r="B33" s="133" t="s">
        <v>38</v>
      </c>
      <c r="C33" s="257">
        <v>0.08</v>
      </c>
    </row>
    <row r="34" spans="2:7" s="91" customFormat="1" ht="15.75" thickBot="1" x14ac:dyDescent="0.3">
      <c r="B34" s="136" t="s">
        <v>123</v>
      </c>
      <c r="C34" s="259">
        <v>0.4</v>
      </c>
    </row>
    <row r="35" spans="2:7" x14ac:dyDescent="0.2">
      <c r="B35" s="91" t="s">
        <v>272</v>
      </c>
      <c r="C35" s="91"/>
      <c r="D35" s="91"/>
      <c r="E35" s="91"/>
      <c r="F35" s="91"/>
      <c r="G35" s="91"/>
    </row>
    <row r="37" spans="2:7" ht="30.75" customHeight="1" x14ac:dyDescent="0.25">
      <c r="B37" s="354" t="s">
        <v>326</v>
      </c>
      <c r="C37" s="354"/>
    </row>
    <row r="38" spans="2:7" ht="48" customHeight="1" x14ac:dyDescent="0.25">
      <c r="B38" s="355" t="s">
        <v>327</v>
      </c>
      <c r="C38" s="355"/>
    </row>
  </sheetData>
  <mergeCells count="3">
    <mergeCell ref="B6:C6"/>
    <mergeCell ref="B37:C37"/>
    <mergeCell ref="B38:C38"/>
  </mergeCells>
  <pageMargins left="0.25" right="0.25" top="0.75" bottom="0.75" header="0.3" footer="0.3"/>
  <pageSetup paperSize="9" scale="98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opLeftCell="A4" zoomScaleNormal="100" workbookViewId="0">
      <selection activeCell="C16" sqref="C1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04" bestFit="1" customWidth="1"/>
    <col min="6" max="6" width="9.7109375" bestFit="1" customWidth="1"/>
  </cols>
  <sheetData>
    <row r="1" spans="1:8" s="123" customFormat="1" ht="14.25" x14ac:dyDescent="0.2">
      <c r="A1" s="9" t="s">
        <v>185</v>
      </c>
      <c r="B1" s="6"/>
      <c r="C1" s="6"/>
      <c r="E1" s="124"/>
    </row>
    <row r="2" spans="1:8" s="123" customFormat="1" ht="14.25" x14ac:dyDescent="0.2">
      <c r="A2" s="119" t="s">
        <v>225</v>
      </c>
      <c r="B2" s="6"/>
      <c r="C2" s="6"/>
      <c r="E2" s="124"/>
    </row>
    <row r="3" spans="1:8" s="123" customFormat="1" ht="14.25" x14ac:dyDescent="0.2">
      <c r="A3" s="7" t="s">
        <v>186</v>
      </c>
      <c r="B3" s="6"/>
      <c r="C3" s="6"/>
      <c r="E3" s="124"/>
    </row>
    <row r="4" spans="1:8" s="123" customFormat="1" ht="14.25" x14ac:dyDescent="0.2">
      <c r="A4" s="7"/>
      <c r="B4" s="6"/>
      <c r="C4" s="6"/>
      <c r="E4" s="124"/>
    </row>
    <row r="5" spans="1:8" s="2" customFormat="1" ht="15.6" customHeight="1" x14ac:dyDescent="0.2">
      <c r="A5" s="253"/>
      <c r="B5" s="3"/>
      <c r="C5" s="3"/>
      <c r="D5" s="3"/>
      <c r="E5" s="3"/>
      <c r="F5" s="3"/>
      <c r="G5" s="4"/>
    </row>
    <row r="6" spans="1:8" s="2" customFormat="1" ht="16.5" customHeight="1" x14ac:dyDescent="0.2">
      <c r="A6" s="253"/>
      <c r="B6" s="3"/>
      <c r="C6" s="3"/>
      <c r="D6" s="4"/>
      <c r="E6" s="4"/>
      <c r="F6" s="4"/>
      <c r="G6" s="4"/>
    </row>
    <row r="7" spans="1:8" s="123" customFormat="1" ht="15" thickBot="1" x14ac:dyDescent="0.25">
      <c r="B7" s="6"/>
      <c r="C7" s="6"/>
      <c r="E7" s="124"/>
    </row>
    <row r="8" spans="1:8" ht="15.75" x14ac:dyDescent="0.2">
      <c r="A8" s="361" t="s">
        <v>205</v>
      </c>
      <c r="B8" s="362"/>
      <c r="C8" s="362"/>
      <c r="D8" s="362"/>
      <c r="E8" s="362"/>
      <c r="F8" s="363"/>
    </row>
    <row r="9" spans="1:8" ht="16.5" thickBot="1" x14ac:dyDescent="0.25">
      <c r="A9" s="218"/>
      <c r="B9" s="219"/>
      <c r="C9" s="219"/>
      <c r="D9" s="219"/>
      <c r="E9" s="219"/>
      <c r="F9" s="220"/>
    </row>
    <row r="10" spans="1:8" ht="15" x14ac:dyDescent="0.25">
      <c r="A10" s="175"/>
      <c r="B10" s="6"/>
      <c r="C10" s="6"/>
      <c r="D10" s="358" t="s">
        <v>222</v>
      </c>
      <c r="E10" s="359"/>
      <c r="F10" s="360"/>
      <c r="G10" s="123"/>
      <c r="H10" s="123"/>
    </row>
    <row r="11" spans="1:8" ht="15" thickBot="1" x14ac:dyDescent="0.25">
      <c r="A11" s="172"/>
      <c r="B11" s="123"/>
      <c r="C11" s="123"/>
      <c r="D11" s="176" t="s">
        <v>174</v>
      </c>
      <c r="E11" s="177" t="s">
        <v>175</v>
      </c>
      <c r="F11" s="178" t="s">
        <v>176</v>
      </c>
      <c r="G11" s="123"/>
      <c r="H11" s="123"/>
    </row>
    <row r="12" spans="1:8" ht="14.25" x14ac:dyDescent="0.2">
      <c r="A12" s="179" t="s">
        <v>71</v>
      </c>
      <c r="B12" s="180" t="s">
        <v>72</v>
      </c>
      <c r="C12" s="181">
        <v>0.05</v>
      </c>
      <c r="D12" s="202">
        <v>2.9700000000000001E-2</v>
      </c>
      <c r="E12" s="203">
        <v>5.0799999999999998E-2</v>
      </c>
      <c r="F12" s="204">
        <v>6.2700000000000006E-2</v>
      </c>
      <c r="G12" s="123"/>
      <c r="H12" s="123"/>
    </row>
    <row r="13" spans="1:8" ht="14.25" x14ac:dyDescent="0.2">
      <c r="A13" s="183" t="s">
        <v>73</v>
      </c>
      <c r="B13" s="184" t="s">
        <v>74</v>
      </c>
      <c r="C13" s="185">
        <v>1.4999999999999999E-2</v>
      </c>
      <c r="D13" s="202">
        <f>0.3%+0.56%</f>
        <v>8.6E-3</v>
      </c>
      <c r="E13" s="203">
        <f>0.48%+0.85%</f>
        <v>1.3299999999999999E-2</v>
      </c>
      <c r="F13" s="204">
        <f>0.82%+0.89%</f>
        <v>1.7099999999999997E-2</v>
      </c>
      <c r="G13" s="123"/>
      <c r="H13" s="123"/>
    </row>
    <row r="14" spans="1:8" ht="14.25" x14ac:dyDescent="0.2">
      <c r="A14" s="183" t="s">
        <v>75</v>
      </c>
      <c r="B14" s="184" t="s">
        <v>76</v>
      </c>
      <c r="C14" s="185">
        <v>0.1</v>
      </c>
      <c r="D14" s="202">
        <v>7.7799999999999994E-2</v>
      </c>
      <c r="E14" s="203">
        <v>0.1085</v>
      </c>
      <c r="F14" s="204">
        <v>0.13550000000000001</v>
      </c>
      <c r="G14" s="123"/>
      <c r="H14" s="123"/>
    </row>
    <row r="15" spans="1:8" ht="14.25" x14ac:dyDescent="0.2">
      <c r="A15" s="183" t="s">
        <v>77</v>
      </c>
      <c r="B15" s="184" t="s">
        <v>78</v>
      </c>
      <c r="C15" s="186">
        <f>(1+E15)^(E16/252)-1</f>
        <v>0</v>
      </c>
      <c r="D15" s="202" t="s">
        <v>274</v>
      </c>
      <c r="E15" s="187">
        <v>0.01</v>
      </c>
      <c r="F15" s="182"/>
      <c r="G15" s="123"/>
      <c r="H15" s="123"/>
    </row>
    <row r="16" spans="1:8" ht="14.25" x14ac:dyDescent="0.2">
      <c r="A16" s="183" t="s">
        <v>79</v>
      </c>
      <c r="B16" s="356" t="s">
        <v>80</v>
      </c>
      <c r="C16" s="185">
        <v>0.03</v>
      </c>
      <c r="D16" s="252" t="s">
        <v>177</v>
      </c>
      <c r="E16" s="188"/>
      <c r="F16" s="189"/>
      <c r="G16" s="123"/>
      <c r="H16" s="123"/>
    </row>
    <row r="17" spans="1:8" ht="15" thickBot="1" x14ac:dyDescent="0.25">
      <c r="A17" s="190" t="s">
        <v>81</v>
      </c>
      <c r="B17" s="357"/>
      <c r="C17" s="191">
        <v>3.6499999999999998E-2</v>
      </c>
      <c r="D17" s="168"/>
      <c r="E17" s="192"/>
      <c r="F17" s="189"/>
      <c r="G17" s="123"/>
      <c r="H17" s="123"/>
    </row>
    <row r="18" spans="1:8" ht="14.25" x14ac:dyDescent="0.2">
      <c r="A18" s="193" t="s">
        <v>82</v>
      </c>
      <c r="B18" s="194"/>
      <c r="C18" s="195"/>
      <c r="D18" s="168"/>
      <c r="E18" s="192"/>
      <c r="F18" s="189"/>
      <c r="G18" s="123"/>
      <c r="H18" s="123"/>
    </row>
    <row r="19" spans="1:8" ht="15" thickBot="1" x14ac:dyDescent="0.25">
      <c r="A19" s="196" t="s">
        <v>83</v>
      </c>
      <c r="B19" s="197"/>
      <c r="C19" s="198"/>
      <c r="D19" s="168"/>
      <c r="E19" s="192"/>
      <c r="F19" s="189"/>
      <c r="G19" s="123"/>
      <c r="H19" s="123"/>
    </row>
    <row r="20" spans="1:8" ht="15.75" thickBot="1" x14ac:dyDescent="0.25">
      <c r="A20" s="199" t="s">
        <v>84</v>
      </c>
      <c r="B20" s="200"/>
      <c r="C20" s="201">
        <f>ROUND((((1+C12+C13)*(1+C14)*(1+C15))/(1-(C16+C17))-1),4)</f>
        <v>0.255</v>
      </c>
      <c r="D20" s="205">
        <v>0.21429999999999999</v>
      </c>
      <c r="E20" s="206">
        <v>0.2717</v>
      </c>
      <c r="F20" s="207">
        <v>0.3362</v>
      </c>
      <c r="G20" s="123"/>
      <c r="H20" s="123"/>
    </row>
    <row r="21" spans="1:8" ht="14.25" x14ac:dyDescent="0.2">
      <c r="A21" s="123"/>
      <c r="B21" s="123"/>
      <c r="C21" s="123"/>
      <c r="D21" s="123"/>
      <c r="E21" s="124"/>
      <c r="F21" s="123"/>
      <c r="G21" s="123"/>
      <c r="H21" s="123"/>
    </row>
    <row r="22" spans="1:8" ht="14.25" x14ac:dyDescent="0.2">
      <c r="A22" s="123"/>
      <c r="B22" s="123"/>
      <c r="C22" s="123"/>
      <c r="D22" s="123"/>
      <c r="E22" s="124"/>
      <c r="F22" s="123"/>
      <c r="G22" s="123"/>
      <c r="H22" s="123"/>
    </row>
    <row r="23" spans="1:8" ht="14.25" x14ac:dyDescent="0.2">
      <c r="A23" s="123"/>
      <c r="B23" s="123"/>
      <c r="C23" s="123"/>
      <c r="D23" s="123"/>
      <c r="E23" s="124"/>
      <c r="F23" s="123"/>
      <c r="G23" s="123"/>
      <c r="H23" s="123"/>
    </row>
    <row r="24" spans="1:8" ht="14.25" x14ac:dyDescent="0.2">
      <c r="A24" s="123"/>
      <c r="B24" s="123"/>
      <c r="C24" s="123"/>
      <c r="D24" s="123"/>
      <c r="E24" s="124"/>
      <c r="F24" s="123"/>
      <c r="G24" s="123"/>
      <c r="H24" s="123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N30" sqref="N30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64" t="s">
        <v>207</v>
      </c>
      <c r="B1" s="365"/>
    </row>
    <row r="2" spans="1:2" s="91" customFormat="1" ht="19.5" customHeight="1" x14ac:dyDescent="0.2">
      <c r="A2" s="221" t="s">
        <v>188</v>
      </c>
      <c r="B2" s="222" t="s">
        <v>257</v>
      </c>
    </row>
    <row r="3" spans="1:2" ht="19.5" customHeight="1" x14ac:dyDescent="0.2">
      <c r="A3" s="138">
        <v>1</v>
      </c>
      <c r="B3" s="137">
        <v>33.629999999999995</v>
      </c>
    </row>
    <row r="4" spans="1:2" ht="19.5" customHeight="1" x14ac:dyDescent="0.2">
      <c r="A4" s="138">
        <v>2</v>
      </c>
      <c r="B4" s="137">
        <v>43.13</v>
      </c>
    </row>
    <row r="5" spans="1:2" ht="19.5" customHeight="1" x14ac:dyDescent="0.2">
      <c r="A5" s="138">
        <v>3</v>
      </c>
      <c r="B5" s="137">
        <v>48.68</v>
      </c>
    </row>
    <row r="6" spans="1:2" ht="19.5" customHeight="1" x14ac:dyDescent="0.2">
      <c r="A6" s="138">
        <v>4</v>
      </c>
      <c r="B6" s="137">
        <v>52.62</v>
      </c>
    </row>
    <row r="7" spans="1:2" ht="19.5" customHeight="1" x14ac:dyDescent="0.2">
      <c r="A7" s="138">
        <v>5</v>
      </c>
      <c r="B7" s="137">
        <v>55.679999999999993</v>
      </c>
    </row>
    <row r="8" spans="1:2" ht="19.5" customHeight="1" x14ac:dyDescent="0.2">
      <c r="A8" s="138">
        <v>6</v>
      </c>
      <c r="B8" s="137">
        <v>58.18</v>
      </c>
    </row>
    <row r="9" spans="1:2" ht="19.5" customHeight="1" x14ac:dyDescent="0.2">
      <c r="A9" s="138">
        <v>7</v>
      </c>
      <c r="B9" s="137">
        <v>60.29</v>
      </c>
    </row>
    <row r="10" spans="1:2" ht="19.5" customHeight="1" x14ac:dyDescent="0.2">
      <c r="A10" s="138">
        <v>8</v>
      </c>
      <c r="B10" s="137">
        <v>62.12</v>
      </c>
    </row>
    <row r="11" spans="1:2" ht="19.5" customHeight="1" x14ac:dyDescent="0.2">
      <c r="A11" s="138">
        <v>9</v>
      </c>
      <c r="B11" s="137">
        <v>63.73</v>
      </c>
    </row>
    <row r="12" spans="1:2" ht="19.5" customHeight="1" x14ac:dyDescent="0.2">
      <c r="A12" s="138">
        <v>10</v>
      </c>
      <c r="B12" s="137">
        <v>65.180000000000007</v>
      </c>
    </row>
    <row r="13" spans="1:2" ht="19.5" customHeight="1" x14ac:dyDescent="0.2">
      <c r="A13" s="138">
        <v>11</v>
      </c>
      <c r="B13" s="137">
        <v>66.47999999999999</v>
      </c>
    </row>
    <row r="14" spans="1:2" ht="19.5" customHeight="1" x14ac:dyDescent="0.2">
      <c r="A14" s="138">
        <v>12</v>
      </c>
      <c r="B14" s="137">
        <v>67.67</v>
      </c>
    </row>
    <row r="15" spans="1:2" ht="19.5" customHeight="1" x14ac:dyDescent="0.2">
      <c r="A15" s="138">
        <v>13</v>
      </c>
      <c r="B15" s="137">
        <v>68.77</v>
      </c>
    </row>
    <row r="16" spans="1:2" ht="19.5" customHeight="1" x14ac:dyDescent="0.2">
      <c r="A16" s="138">
        <v>14</v>
      </c>
      <c r="B16" s="137">
        <v>69.789999999999992</v>
      </c>
    </row>
    <row r="17" spans="1:2" ht="19.5" customHeight="1" thickBot="1" x14ac:dyDescent="0.25">
      <c r="A17" s="139">
        <v>15</v>
      </c>
      <c r="B17" s="140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G35" sqref="G35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11" t="s">
        <v>211</v>
      </c>
    </row>
    <row r="2" spans="1:1" x14ac:dyDescent="0.2">
      <c r="A2" s="208"/>
    </row>
    <row r="3" spans="1:1" x14ac:dyDescent="0.2">
      <c r="A3" s="208" t="s">
        <v>226</v>
      </c>
    </row>
    <row r="4" spans="1:1" x14ac:dyDescent="0.2">
      <c r="A4" s="208"/>
    </row>
    <row r="5" spans="1:1" x14ac:dyDescent="0.2">
      <c r="A5" s="208"/>
    </row>
    <row r="6" spans="1:1" x14ac:dyDescent="0.2">
      <c r="A6" s="208"/>
    </row>
    <row r="7" spans="1:1" x14ac:dyDescent="0.2">
      <c r="A7" s="208"/>
    </row>
    <row r="8" spans="1:1" x14ac:dyDescent="0.2">
      <c r="A8" s="208"/>
    </row>
    <row r="9" spans="1:1" x14ac:dyDescent="0.2">
      <c r="A9" s="208"/>
    </row>
    <row r="10" spans="1:1" x14ac:dyDescent="0.2">
      <c r="A10" s="208"/>
    </row>
    <row r="11" spans="1:1" x14ac:dyDescent="0.2">
      <c r="A11" s="208"/>
    </row>
    <row r="12" spans="1:1" ht="19.5" x14ac:dyDescent="0.35">
      <c r="A12" s="209" t="s">
        <v>208</v>
      </c>
    </row>
    <row r="13" spans="1:1" ht="15" x14ac:dyDescent="0.2">
      <c r="A13" s="209" t="s">
        <v>97</v>
      </c>
    </row>
    <row r="14" spans="1:1" ht="15" x14ac:dyDescent="0.2">
      <c r="A14" s="209" t="s">
        <v>101</v>
      </c>
    </row>
    <row r="15" spans="1:1" ht="19.5" x14ac:dyDescent="0.35">
      <c r="A15" s="209" t="s">
        <v>209</v>
      </c>
    </row>
    <row r="16" spans="1:1" ht="19.5" x14ac:dyDescent="0.35">
      <c r="A16" s="209" t="s">
        <v>210</v>
      </c>
    </row>
    <row r="17" spans="1:1" ht="15.75" thickBot="1" x14ac:dyDescent="0.25">
      <c r="A17" s="210" t="s">
        <v>98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11</vt:i4>
      </vt:variant>
    </vt:vector>
  </HeadingPairs>
  <TitlesOfParts>
    <vt:vector size="21" baseType="lpstr">
      <vt:lpstr>1.1. COLETA</vt:lpstr>
      <vt:lpstr>1.2. RESPONSABILIDADE TÉCNICA</vt:lpstr>
      <vt:lpstr>1.3. TRANSPORTE</vt:lpstr>
      <vt:lpstr>1.4. DESTINAÇÃO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'1.1. COLETA'!Area_de_impressao</vt:lpstr>
      <vt:lpstr>'1.2. RESPONSABILIDADE TÉCNICA'!Area_de_impressao</vt:lpstr>
      <vt:lpstr>'1.3. TRANSPORTE'!Area_de_impressao</vt:lpstr>
      <vt:lpstr>'1.4. DESTINAÇÃO'!Area_de_impressao</vt:lpstr>
      <vt:lpstr>'2.Encargos Sociais'!Area_de_impressao</vt:lpstr>
      <vt:lpstr>'1.1. COLETA'!Titulos_de_impressao</vt:lpstr>
      <vt:lpstr>'1.2. RESPONSABILIDADE TÉCNICA'!Titulos_de_impressao</vt:lpstr>
      <vt:lpstr>'1.3. TRANSPORTE'!Titulos_de_impressao</vt:lpstr>
      <vt:lpstr>'1.4. DESTINAÇÃO'!Titulos_de_impressao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HULHA NEGRA</cp:lastModifiedBy>
  <cp:lastPrinted>2025-09-05T17:40:46Z</cp:lastPrinted>
  <dcterms:created xsi:type="dcterms:W3CDTF">2000-12-13T10:02:50Z</dcterms:created>
  <dcterms:modified xsi:type="dcterms:W3CDTF">2025-09-05T18:09:01Z</dcterms:modified>
</cp:coreProperties>
</file>